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odun\Desktop\reorder\"/>
    </mc:Choice>
  </mc:AlternateContent>
  <bookViews>
    <workbookView xWindow="0" yWindow="0" windowWidth="2040" windowHeight="1125" firstSheet="6" activeTab="9"/>
  </bookViews>
  <sheets>
    <sheet name="Overall summary" sheetId="4" r:id="rId1"/>
    <sheet name="summary Allo Pool fund recurent" sheetId="2" r:id="rId2"/>
    <sheet name="Sumary Allo pooled fund capital" sheetId="3" r:id="rId3"/>
    <sheet name="Pooled fund personnel" sheetId="11" r:id="rId4"/>
    <sheet name="Pooled Fund SP" sheetId="18" r:id="rId5"/>
    <sheet name="Personnel Details" sheetId="19" r:id="rId6"/>
    <sheet name="Details SP" sheetId="8" r:id="rId7"/>
    <sheet name="Pooled Fund detail Capital" sheetId="7" r:id="rId8"/>
    <sheet name="Project detail capital" sheetId="5" r:id="rId9"/>
    <sheet name="First Schedule" sheetId="22" r:id="rId10"/>
    <sheet name="Second Schedule" sheetId="16" r:id="rId11"/>
    <sheet name="Third Schedule" sheetId="20" r:id="rId12"/>
    <sheet name="Fourth Schedule" sheetId="21" r:id="rId13"/>
  </sheets>
  <definedNames>
    <definedName name="_GoBack" localSheetId="8">'Project detail capital'!#REF!</definedName>
    <definedName name="_xlnm.Print_Titles" localSheetId="12">'Fourth Schedule'!$5:$5</definedName>
    <definedName name="_xlnm.Print_Titles" localSheetId="7">'Pooled Fund detail Capital'!$5:$5</definedName>
    <definedName name="_xlnm.Print_Titles" localSheetId="4">'Pooled Fund SP'!$6:$6</definedName>
    <definedName name="_xlnm.Print_Titles" localSheetId="8">'Project detail capital'!$5:$5</definedName>
    <definedName name="_xlnm.Print_Titles" localSheetId="1">'summary Allo Pool fund recurent'!$5:$5</definedName>
    <definedName name="_xlnm.Print_Titles" localSheetId="11">'Third Schedule'!$5:$5</definedName>
  </definedNames>
  <calcPr calcId="162913"/>
</workbook>
</file>

<file path=xl/calcChain.xml><?xml version="1.0" encoding="utf-8"?>
<calcChain xmlns="http://schemas.openxmlformats.org/spreadsheetml/2006/main">
  <c r="H681" i="8" l="1"/>
  <c r="H41" i="18" l="1"/>
  <c r="I40" i="18"/>
  <c r="G41" i="18"/>
  <c r="F41" i="18"/>
  <c r="F534" i="8"/>
  <c r="H525" i="8"/>
  <c r="H526" i="8"/>
  <c r="H527" i="8"/>
  <c r="H528" i="8"/>
  <c r="H529" i="8"/>
  <c r="H530" i="8"/>
  <c r="H531" i="8"/>
  <c r="H532" i="8"/>
  <c r="H533" i="8"/>
  <c r="H524" i="8"/>
  <c r="H18" i="7"/>
  <c r="H865" i="8"/>
  <c r="H861" i="8"/>
  <c r="D774" i="8" l="1"/>
  <c r="H772" i="8"/>
  <c r="H773" i="8"/>
  <c r="D654" i="8"/>
  <c r="F9" i="5"/>
  <c r="D29" i="21" s="1"/>
  <c r="E29" i="21" s="1"/>
  <c r="E9" i="5"/>
  <c r="D9" i="5"/>
  <c r="G8" i="5"/>
  <c r="G9" i="5" s="1"/>
  <c r="H32" i="18"/>
  <c r="G32" i="18"/>
  <c r="F32" i="18"/>
  <c r="I31" i="18"/>
  <c r="D696" i="8"/>
  <c r="H206" i="8"/>
  <c r="H198" i="8"/>
  <c r="E32" i="5"/>
  <c r="E33" i="5" s="1"/>
  <c r="H99" i="7"/>
  <c r="D105" i="21" s="1"/>
  <c r="E105" i="21" s="1"/>
  <c r="G99" i="7"/>
  <c r="F99" i="7"/>
  <c r="I98" i="7"/>
  <c r="I99" i="7" s="1"/>
  <c r="D38" i="2"/>
  <c r="D19" i="22"/>
  <c r="F33" i="5"/>
  <c r="D12" i="3" s="1"/>
  <c r="D33" i="5"/>
  <c r="G32" i="5"/>
  <c r="G33" i="5" s="1"/>
  <c r="F798" i="8"/>
  <c r="F105" i="20" s="1"/>
  <c r="G105" i="20" s="1"/>
  <c r="H11" i="18"/>
  <c r="G11" i="18"/>
  <c r="F11" i="18"/>
  <c r="G696" i="8"/>
  <c r="F696" i="8"/>
  <c r="F79" i="20" s="1"/>
  <c r="G79" i="20" s="1"/>
  <c r="E696" i="8"/>
  <c r="H675" i="8"/>
  <c r="H676" i="8"/>
  <c r="H677" i="8"/>
  <c r="H678" i="8"/>
  <c r="H679" i="8"/>
  <c r="H680" i="8"/>
  <c r="H682" i="8"/>
  <c r="H683" i="8"/>
  <c r="H684" i="8"/>
  <c r="H685" i="8"/>
  <c r="H686" i="8"/>
  <c r="H687" i="8"/>
  <c r="H688" i="8"/>
  <c r="H689" i="8"/>
  <c r="H690" i="8"/>
  <c r="H691" i="8"/>
  <c r="H694" i="8"/>
  <c r="H695" i="8"/>
  <c r="H674" i="8"/>
  <c r="G441" i="8"/>
  <c r="F441" i="8"/>
  <c r="G28" i="20" s="1"/>
  <c r="E441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389" i="8"/>
  <c r="D441" i="8"/>
  <c r="H796" i="8"/>
  <c r="H797" i="8"/>
  <c r="H795" i="8"/>
  <c r="G798" i="8"/>
  <c r="E798" i="8"/>
  <c r="D798" i="8"/>
  <c r="G1031" i="8"/>
  <c r="F1031" i="8"/>
  <c r="F133" i="20" s="1"/>
  <c r="G133" i="20" s="1"/>
  <c r="E1031" i="8"/>
  <c r="D1031" i="8"/>
  <c r="H1030" i="8"/>
  <c r="H1031" i="8" s="1"/>
  <c r="G975" i="8"/>
  <c r="F975" i="8"/>
  <c r="F127" i="20" s="1"/>
  <c r="G127" i="20" s="1"/>
  <c r="E975" i="8"/>
  <c r="D975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2" i="8"/>
  <c r="H963" i="8"/>
  <c r="H964" i="8"/>
  <c r="H965" i="8"/>
  <c r="H966" i="8"/>
  <c r="H967" i="8"/>
  <c r="H968" i="8"/>
  <c r="H969" i="8"/>
  <c r="H970" i="8"/>
  <c r="H971" i="8"/>
  <c r="H972" i="8"/>
  <c r="H973" i="8"/>
  <c r="H974" i="8"/>
  <c r="H943" i="8"/>
  <c r="H1063" i="8"/>
  <c r="H1064" i="8"/>
  <c r="H1065" i="8"/>
  <c r="H1066" i="8"/>
  <c r="H1062" i="8"/>
  <c r="G1067" i="8"/>
  <c r="F1067" i="8"/>
  <c r="F135" i="20" s="1"/>
  <c r="G135" i="20" s="1"/>
  <c r="E1067" i="8"/>
  <c r="D1067" i="8"/>
  <c r="H268" i="8"/>
  <c r="H269" i="8"/>
  <c r="H270" i="8"/>
  <c r="H262" i="8"/>
  <c r="H263" i="8"/>
  <c r="H264" i="8"/>
  <c r="H265" i="8"/>
  <c r="H266" i="8"/>
  <c r="H267" i="8"/>
  <c r="H261" i="8"/>
  <c r="D62" i="21"/>
  <c r="E62" i="21" s="1"/>
  <c r="D102" i="21"/>
  <c r="E116" i="21"/>
  <c r="E118" i="21"/>
  <c r="E117" i="21"/>
  <c r="E115" i="21"/>
  <c r="E111" i="21"/>
  <c r="E110" i="21"/>
  <c r="E109" i="21"/>
  <c r="E108" i="21"/>
  <c r="E106" i="21"/>
  <c r="E101" i="21"/>
  <c r="E100" i="21"/>
  <c r="E99" i="21"/>
  <c r="E98" i="21"/>
  <c r="E97" i="21"/>
  <c r="E96" i="21"/>
  <c r="E95" i="21"/>
  <c r="E94" i="21"/>
  <c r="E93" i="21"/>
  <c r="E92" i="21"/>
  <c r="E91" i="21"/>
  <c r="E87" i="21"/>
  <c r="E85" i="21"/>
  <c r="E83" i="21"/>
  <c r="E82" i="21"/>
  <c r="E81" i="21"/>
  <c r="E79" i="21"/>
  <c r="E77" i="21"/>
  <c r="E75" i="21"/>
  <c r="E72" i="21"/>
  <c r="E65" i="21"/>
  <c r="E64" i="21"/>
  <c r="E63" i="21"/>
  <c r="E58" i="21"/>
  <c r="E53" i="21"/>
  <c r="E52" i="21"/>
  <c r="E51" i="21"/>
  <c r="E50" i="21"/>
  <c r="E49" i="21"/>
  <c r="E48" i="21"/>
  <c r="E45" i="21"/>
  <c r="E43" i="21"/>
  <c r="E40" i="21"/>
  <c r="E38" i="21"/>
  <c r="E37" i="21"/>
  <c r="E36" i="21"/>
  <c r="E35" i="21"/>
  <c r="E34" i="21"/>
  <c r="E33" i="21"/>
  <c r="E32" i="21"/>
  <c r="E31" i="21"/>
  <c r="E30" i="21"/>
  <c r="E28" i="21"/>
  <c r="E26" i="21"/>
  <c r="E25" i="21"/>
  <c r="E24" i="21"/>
  <c r="E23" i="21"/>
  <c r="E22" i="21"/>
  <c r="E21" i="21"/>
  <c r="E20" i="21"/>
  <c r="E18" i="21"/>
  <c r="E17" i="21"/>
  <c r="E16" i="21"/>
  <c r="E15" i="21"/>
  <c r="E13" i="21"/>
  <c r="E12" i="21"/>
  <c r="E10" i="21"/>
  <c r="E9" i="21"/>
  <c r="E8" i="21"/>
  <c r="E6" i="21"/>
  <c r="G142" i="20"/>
  <c r="G141" i="20"/>
  <c r="G140" i="20"/>
  <c r="G137" i="20"/>
  <c r="G136" i="20"/>
  <c r="G134" i="20"/>
  <c r="G132" i="20"/>
  <c r="G131" i="20"/>
  <c r="G130" i="20"/>
  <c r="G129" i="20"/>
  <c r="G126" i="20"/>
  <c r="G125" i="20"/>
  <c r="G124" i="20"/>
  <c r="G123" i="20"/>
  <c r="G122" i="20"/>
  <c r="G121" i="20"/>
  <c r="G120" i="20"/>
  <c r="G119" i="20"/>
  <c r="G118" i="20"/>
  <c r="G117" i="20"/>
  <c r="G116" i="20"/>
  <c r="G114" i="20"/>
  <c r="G113" i="20"/>
  <c r="G112" i="20"/>
  <c r="G110" i="20"/>
  <c r="G109" i="20"/>
  <c r="G106" i="20"/>
  <c r="G104" i="20"/>
  <c r="G103" i="20"/>
  <c r="G102" i="20"/>
  <c r="G100" i="20"/>
  <c r="G99" i="20"/>
  <c r="G97" i="20"/>
  <c r="G96" i="20"/>
  <c r="G95" i="20"/>
  <c r="G93" i="20"/>
  <c r="G92" i="20"/>
  <c r="G91" i="20"/>
  <c r="G90" i="20"/>
  <c r="G89" i="20"/>
  <c r="G87" i="20"/>
  <c r="G86" i="20"/>
  <c r="G84" i="20"/>
  <c r="G83" i="20"/>
  <c r="G82" i="20"/>
  <c r="G81" i="20"/>
  <c r="G80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4" i="20"/>
  <c r="G63" i="20"/>
  <c r="G62" i="20"/>
  <c r="G61" i="20"/>
  <c r="G58" i="20"/>
  <c r="G57" i="20"/>
  <c r="G56" i="20"/>
  <c r="G55" i="20"/>
  <c r="G54" i="20"/>
  <c r="G53" i="20"/>
  <c r="G52" i="20"/>
  <c r="G51" i="20"/>
  <c r="G49" i="20"/>
  <c r="G47" i="20"/>
  <c r="G45" i="20"/>
  <c r="G44" i="20"/>
  <c r="G43" i="20"/>
  <c r="G42" i="20"/>
  <c r="G41" i="20"/>
  <c r="G40" i="20"/>
  <c r="G39" i="20"/>
  <c r="G37" i="20"/>
  <c r="G36" i="20"/>
  <c r="G35" i="20"/>
  <c r="G33" i="20"/>
  <c r="G32" i="20"/>
  <c r="G31" i="20"/>
  <c r="G30" i="20"/>
  <c r="G27" i="20"/>
  <c r="G25" i="20"/>
  <c r="G24" i="20"/>
  <c r="G23" i="20"/>
  <c r="G19" i="20"/>
  <c r="G18" i="20"/>
  <c r="G17" i="20"/>
  <c r="G16" i="20"/>
  <c r="G15" i="20"/>
  <c r="G12" i="20"/>
  <c r="G11" i="20"/>
  <c r="G10" i="20"/>
  <c r="G9" i="20"/>
  <c r="G7" i="20"/>
  <c r="D7" i="3" l="1"/>
  <c r="H975" i="8"/>
  <c r="D47" i="21"/>
  <c r="E47" i="21" s="1"/>
  <c r="H696" i="8"/>
  <c r="H441" i="8"/>
  <c r="H798" i="8"/>
  <c r="H1067" i="8"/>
  <c r="E102" i="21"/>
  <c r="D295" i="8" l="1"/>
  <c r="G295" i="8"/>
  <c r="F295" i="8"/>
  <c r="E295" i="8"/>
  <c r="G56" i="5"/>
  <c r="E57" i="5"/>
  <c r="D57" i="5"/>
  <c r="F57" i="5"/>
  <c r="D76" i="21" s="1"/>
  <c r="E76" i="21" s="1"/>
  <c r="H294" i="8"/>
  <c r="H293" i="8"/>
  <c r="H292" i="8"/>
  <c r="G774" i="8"/>
  <c r="F101" i="20" s="1"/>
  <c r="G101" i="20" s="1"/>
  <c r="F774" i="8"/>
  <c r="E774" i="8"/>
  <c r="D271" i="8"/>
  <c r="G271" i="8"/>
  <c r="F271" i="8"/>
  <c r="F14" i="20" s="1"/>
  <c r="E271" i="8"/>
  <c r="D51" i="5"/>
  <c r="E51" i="5"/>
  <c r="F51" i="5"/>
  <c r="G50" i="5"/>
  <c r="G51" i="5" s="1"/>
  <c r="F61" i="5"/>
  <c r="E61" i="5"/>
  <c r="D61" i="5"/>
  <c r="G60" i="5"/>
  <c r="G61" i="5" s="1"/>
  <c r="I10" i="18"/>
  <c r="G45" i="18"/>
  <c r="F65" i="5"/>
  <c r="E65" i="5"/>
  <c r="D65" i="5"/>
  <c r="G64" i="5"/>
  <c r="G65" i="5" s="1"/>
  <c r="I44" i="18"/>
  <c r="I43" i="18"/>
  <c r="H45" i="18"/>
  <c r="D18" i="3" s="1"/>
  <c r="F45" i="18"/>
  <c r="D881" i="8"/>
  <c r="G881" i="8"/>
  <c r="F881" i="8"/>
  <c r="F108" i="20" s="1"/>
  <c r="G108" i="20" s="1"/>
  <c r="E881" i="8"/>
  <c r="H874" i="8"/>
  <c r="H877" i="8"/>
  <c r="H878" i="8"/>
  <c r="H879" i="8"/>
  <c r="H880" i="8"/>
  <c r="H873" i="8"/>
  <c r="H872" i="8"/>
  <c r="H871" i="8"/>
  <c r="H870" i="8"/>
  <c r="H869" i="8"/>
  <c r="H868" i="8"/>
  <c r="H867" i="8"/>
  <c r="H866" i="8"/>
  <c r="H864" i="8"/>
  <c r="H863" i="8"/>
  <c r="H862" i="8"/>
  <c r="H860" i="8"/>
  <c r="H859" i="8"/>
  <c r="H858" i="8"/>
  <c r="H857" i="8"/>
  <c r="G1114" i="8"/>
  <c r="F1114" i="8"/>
  <c r="E1114" i="8"/>
  <c r="D1114" i="8"/>
  <c r="H1098" i="8"/>
  <c r="H1099" i="8"/>
  <c r="H1100" i="8"/>
  <c r="H1101" i="8"/>
  <c r="H1102" i="8"/>
  <c r="H1103" i="8"/>
  <c r="H1104" i="8"/>
  <c r="H1105" i="8"/>
  <c r="H1106" i="8"/>
  <c r="H1107" i="8"/>
  <c r="H1108" i="8"/>
  <c r="H1109" i="8"/>
  <c r="H1110" i="8"/>
  <c r="H1111" i="8"/>
  <c r="H1112" i="8"/>
  <c r="H1113" i="8"/>
  <c r="H1097" i="8"/>
  <c r="H1096" i="8"/>
  <c r="H1095" i="8"/>
  <c r="H1094" i="8"/>
  <c r="H1093" i="8"/>
  <c r="H1092" i="8"/>
  <c r="F1177" i="8"/>
  <c r="H1177" i="8" s="1"/>
  <c r="F1178" i="8"/>
  <c r="H652" i="8"/>
  <c r="H653" i="8"/>
  <c r="E534" i="8"/>
  <c r="G144" i="8"/>
  <c r="D144" i="8"/>
  <c r="H143" i="8"/>
  <c r="H142" i="8"/>
  <c r="H141" i="8"/>
  <c r="H140" i="8"/>
  <c r="H139" i="8"/>
  <c r="H138" i="8"/>
  <c r="H137" i="8"/>
  <c r="H136" i="8"/>
  <c r="H135" i="8"/>
  <c r="G231" i="8"/>
  <c r="F231" i="8"/>
  <c r="E231" i="8"/>
  <c r="D231" i="8"/>
  <c r="H230" i="8"/>
  <c r="H229" i="8"/>
  <c r="E1167" i="8"/>
  <c r="G1167" i="8"/>
  <c r="H1165" i="8"/>
  <c r="H1166" i="8"/>
  <c r="H1153" i="8"/>
  <c r="H1154" i="8"/>
  <c r="H1155" i="8"/>
  <c r="H1156" i="8"/>
  <c r="H1157" i="8"/>
  <c r="H1158" i="8"/>
  <c r="H1159" i="8"/>
  <c r="H1160" i="8"/>
  <c r="H1161" i="8"/>
  <c r="H1162" i="8"/>
  <c r="H1163" i="8"/>
  <c r="H1164" i="8"/>
  <c r="H1152" i="8"/>
  <c r="D1167" i="8"/>
  <c r="F1167" i="8"/>
  <c r="G214" i="8"/>
  <c r="F214" i="8"/>
  <c r="E214" i="8"/>
  <c r="H202" i="8"/>
  <c r="H203" i="8"/>
  <c r="H204" i="8"/>
  <c r="H205" i="8"/>
  <c r="H207" i="8"/>
  <c r="H208" i="8"/>
  <c r="H209" i="8"/>
  <c r="H210" i="8"/>
  <c r="H211" i="8"/>
  <c r="H212" i="8"/>
  <c r="H213" i="8"/>
  <c r="D214" i="8"/>
  <c r="H201" i="8"/>
  <c r="H200" i="8"/>
  <c r="H199" i="8"/>
  <c r="G177" i="8"/>
  <c r="F177" i="8"/>
  <c r="E177" i="8"/>
  <c r="D177" i="8"/>
  <c r="H168" i="8"/>
  <c r="H169" i="8"/>
  <c r="H170" i="8"/>
  <c r="H171" i="8"/>
  <c r="H172" i="8"/>
  <c r="H173" i="8"/>
  <c r="H174" i="8"/>
  <c r="H175" i="8"/>
  <c r="H176" i="8"/>
  <c r="H167" i="8"/>
  <c r="G473" i="8"/>
  <c r="F34" i="20" s="1"/>
  <c r="G34" i="20" s="1"/>
  <c r="F473" i="8"/>
  <c r="E473" i="8"/>
  <c r="D473" i="8"/>
  <c r="G23" i="8"/>
  <c r="H96" i="7"/>
  <c r="G96" i="7"/>
  <c r="F96" i="7"/>
  <c r="I95" i="7"/>
  <c r="I96" i="7" s="1"/>
  <c r="I39" i="18"/>
  <c r="I38" i="18"/>
  <c r="I41" i="18" s="1"/>
  <c r="H36" i="18"/>
  <c r="G36" i="18"/>
  <c r="F36" i="18"/>
  <c r="I35" i="18"/>
  <c r="I34" i="18"/>
  <c r="I30" i="18"/>
  <c r="I29" i="18"/>
  <c r="E1183" i="8"/>
  <c r="H1179" i="8"/>
  <c r="H1180" i="8"/>
  <c r="H1181" i="8"/>
  <c r="H1182" i="8"/>
  <c r="I32" i="18" l="1"/>
  <c r="D7" i="21"/>
  <c r="E7" i="21" s="1"/>
  <c r="E8" i="20"/>
  <c r="G8" i="20" s="1"/>
  <c r="F6" i="20"/>
  <c r="D17" i="3"/>
  <c r="D78" i="21"/>
  <c r="E78" i="21" s="1"/>
  <c r="D15" i="3"/>
  <c r="D70" i="21"/>
  <c r="E70" i="21" s="1"/>
  <c r="F36" i="2"/>
  <c r="F138" i="20"/>
  <c r="G138" i="20" s="1"/>
  <c r="F15" i="2"/>
  <c r="F20" i="20"/>
  <c r="G20" i="20" s="1"/>
  <c r="G143" i="20"/>
  <c r="H271" i="8"/>
  <c r="F14" i="2"/>
  <c r="F13" i="20"/>
  <c r="G13" i="20" s="1"/>
  <c r="H12" i="2"/>
  <c r="E98" i="20"/>
  <c r="G98" i="20" s="1"/>
  <c r="F13" i="2"/>
  <c r="H11" i="2"/>
  <c r="E85" i="20"/>
  <c r="G85" i="20" s="1"/>
  <c r="H295" i="8"/>
  <c r="I45" i="18"/>
  <c r="H881" i="8"/>
  <c r="H1114" i="8"/>
  <c r="F1183" i="8"/>
  <c r="H1178" i="8"/>
  <c r="H144" i="8"/>
  <c r="H231" i="8"/>
  <c r="H1167" i="8"/>
  <c r="H214" i="8"/>
  <c r="H177" i="8"/>
  <c r="I36" i="18"/>
  <c r="I15" i="7"/>
  <c r="H16" i="7"/>
  <c r="G16" i="7"/>
  <c r="F16" i="7"/>
  <c r="G654" i="8"/>
  <c r="F65" i="20" s="1"/>
  <c r="G65" i="20" s="1"/>
  <c r="F654" i="8"/>
  <c r="E654" i="8"/>
  <c r="G47" i="8"/>
  <c r="D47" i="8"/>
  <c r="H46" i="8"/>
  <c r="H45" i="8"/>
  <c r="H44" i="8"/>
  <c r="H43" i="8"/>
  <c r="H42" i="8"/>
  <c r="H41" i="8"/>
  <c r="H40" i="8"/>
  <c r="I8" i="11"/>
  <c r="H8" i="2" l="1"/>
  <c r="E14" i="20"/>
  <c r="G14" i="20" s="1"/>
  <c r="G6" i="20"/>
  <c r="H47" i="8"/>
  <c r="D6" i="2" l="1"/>
  <c r="D40" i="2" s="1"/>
  <c r="G7" i="19"/>
  <c r="H647" i="8"/>
  <c r="F73" i="5"/>
  <c r="E73" i="5"/>
  <c r="D73" i="5"/>
  <c r="G72" i="5"/>
  <c r="G73" i="5" s="1"/>
  <c r="F27" i="2"/>
  <c r="H771" i="8"/>
  <c r="H770" i="8"/>
  <c r="H769" i="8"/>
  <c r="H768" i="8"/>
  <c r="H767" i="8"/>
  <c r="H766" i="8"/>
  <c r="H765" i="8"/>
  <c r="H764" i="8"/>
  <c r="H763" i="8"/>
  <c r="E749" i="8"/>
  <c r="G749" i="8"/>
  <c r="F94" i="20" s="1"/>
  <c r="G94" i="20" s="1"/>
  <c r="H748" i="8"/>
  <c r="D749" i="8"/>
  <c r="G1130" i="8"/>
  <c r="F1130" i="8"/>
  <c r="E1130" i="8"/>
  <c r="D1130" i="8"/>
  <c r="H1129" i="8"/>
  <c r="H1128" i="8"/>
  <c r="H1127" i="8"/>
  <c r="H1126" i="8"/>
  <c r="H1125" i="8"/>
  <c r="H1124" i="8"/>
  <c r="G534" i="8"/>
  <c r="F46" i="20" s="1"/>
  <c r="D534" i="8"/>
  <c r="H27" i="18"/>
  <c r="G27" i="18"/>
  <c r="F27" i="18"/>
  <c r="I26" i="18"/>
  <c r="I27" i="18" s="1"/>
  <c r="H93" i="7"/>
  <c r="D86" i="21" s="1"/>
  <c r="E86" i="21" s="1"/>
  <c r="G93" i="7"/>
  <c r="F93" i="7"/>
  <c r="I92" i="7"/>
  <c r="I93" i="7" s="1"/>
  <c r="H90" i="7"/>
  <c r="D11" i="21" s="1"/>
  <c r="E11" i="21" s="1"/>
  <c r="G90" i="7"/>
  <c r="F90" i="7"/>
  <c r="I89" i="7"/>
  <c r="I88" i="7"/>
  <c r="I87" i="7"/>
  <c r="I86" i="7"/>
  <c r="H84" i="7"/>
  <c r="D19" i="21" s="1"/>
  <c r="E19" i="21" s="1"/>
  <c r="G84" i="7"/>
  <c r="F84" i="7"/>
  <c r="I83" i="7"/>
  <c r="I84" i="7" s="1"/>
  <c r="I80" i="7"/>
  <c r="H81" i="7"/>
  <c r="D57" i="21" s="1"/>
  <c r="E57" i="21" s="1"/>
  <c r="G81" i="7"/>
  <c r="F81" i="7"/>
  <c r="I79" i="7"/>
  <c r="I81" i="7" s="1"/>
  <c r="H77" i="7"/>
  <c r="D55" i="21" s="1"/>
  <c r="E55" i="21" s="1"/>
  <c r="G77" i="7"/>
  <c r="F77" i="7"/>
  <c r="I76" i="7"/>
  <c r="I75" i="7"/>
  <c r="H73" i="7"/>
  <c r="D56" i="21" s="1"/>
  <c r="E56" i="21" s="1"/>
  <c r="G73" i="7"/>
  <c r="F73" i="7"/>
  <c r="I72" i="7"/>
  <c r="I73" i="7" s="1"/>
  <c r="E61" i="21"/>
  <c r="H36" i="7"/>
  <c r="I69" i="7"/>
  <c r="I70" i="7" s="1"/>
  <c r="G70" i="7"/>
  <c r="F70" i="7"/>
  <c r="H70" i="7"/>
  <c r="D60" i="21" s="1"/>
  <c r="E60" i="21" s="1"/>
  <c r="H67" i="7"/>
  <c r="D41" i="21" s="1"/>
  <c r="E41" i="21" s="1"/>
  <c r="G67" i="7"/>
  <c r="F67" i="7"/>
  <c r="I66" i="7"/>
  <c r="I67" i="7" s="1"/>
  <c r="H64" i="7"/>
  <c r="D74" i="21" s="1"/>
  <c r="E74" i="21" s="1"/>
  <c r="G64" i="7"/>
  <c r="F64" i="7"/>
  <c r="I63" i="7"/>
  <c r="I64" i="7" s="1"/>
  <c r="H61" i="7"/>
  <c r="D68" i="21" s="1"/>
  <c r="E68" i="21" s="1"/>
  <c r="G61" i="7"/>
  <c r="F61" i="7"/>
  <c r="I60" i="7"/>
  <c r="I59" i="7"/>
  <c r="H57" i="7"/>
  <c r="D90" i="21" s="1"/>
  <c r="E90" i="21" s="1"/>
  <c r="G57" i="7"/>
  <c r="F57" i="7"/>
  <c r="I56" i="7"/>
  <c r="I57" i="7" s="1"/>
  <c r="H54" i="7"/>
  <c r="D89" i="21" s="1"/>
  <c r="E89" i="21" s="1"/>
  <c r="G54" i="7"/>
  <c r="F54" i="7"/>
  <c r="I53" i="7"/>
  <c r="I52" i="7"/>
  <c r="H50" i="7"/>
  <c r="G50" i="7"/>
  <c r="F50" i="7"/>
  <c r="I49" i="7"/>
  <c r="I50" i="7" s="1"/>
  <c r="H47" i="7"/>
  <c r="D67" i="21" s="1"/>
  <c r="E67" i="21" s="1"/>
  <c r="G47" i="7"/>
  <c r="F47" i="7"/>
  <c r="I46" i="7"/>
  <c r="I47" i="7" s="1"/>
  <c r="H44" i="7"/>
  <c r="G44" i="7"/>
  <c r="F44" i="7"/>
  <c r="I43" i="7"/>
  <c r="I42" i="7"/>
  <c r="I41" i="7"/>
  <c r="H40" i="7"/>
  <c r="D69" i="21" s="1"/>
  <c r="E69" i="21" s="1"/>
  <c r="G40" i="7"/>
  <c r="F40" i="7"/>
  <c r="I39" i="7"/>
  <c r="I38" i="7"/>
  <c r="G36" i="7"/>
  <c r="F36" i="7"/>
  <c r="I35" i="7"/>
  <c r="I36" i="7" s="1"/>
  <c r="H33" i="7"/>
  <c r="D71" i="21" s="1"/>
  <c r="E71" i="21" s="1"/>
  <c r="G33" i="7"/>
  <c r="F33" i="7"/>
  <c r="I32" i="7"/>
  <c r="I31" i="7"/>
  <c r="H29" i="7"/>
  <c r="D73" i="21" s="1"/>
  <c r="E73" i="21" s="1"/>
  <c r="G29" i="7"/>
  <c r="F29" i="7"/>
  <c r="I28" i="7"/>
  <c r="I29" i="7" s="1"/>
  <c r="H26" i="7"/>
  <c r="G26" i="7"/>
  <c r="F26" i="7"/>
  <c r="I25" i="7"/>
  <c r="I24" i="7"/>
  <c r="I23" i="7"/>
  <c r="H22" i="7"/>
  <c r="G22" i="7"/>
  <c r="F22" i="7"/>
  <c r="I21" i="7"/>
  <c r="I22" i="7" s="1"/>
  <c r="H19" i="7"/>
  <c r="G19" i="7"/>
  <c r="F19" i="7"/>
  <c r="I18" i="7"/>
  <c r="I19" i="7" s="1"/>
  <c r="I14" i="7"/>
  <c r="I16" i="7" s="1"/>
  <c r="H12" i="7"/>
  <c r="G12" i="7"/>
  <c r="F12" i="7"/>
  <c r="I11" i="7"/>
  <c r="I12" i="7" s="1"/>
  <c r="H9" i="7"/>
  <c r="D88" i="21" s="1"/>
  <c r="E88" i="21" s="1"/>
  <c r="G9" i="7"/>
  <c r="F9" i="7"/>
  <c r="I8" i="7"/>
  <c r="I23" i="18"/>
  <c r="I24" i="18" s="1"/>
  <c r="H24" i="18"/>
  <c r="G24" i="18"/>
  <c r="G46" i="18" s="1"/>
  <c r="F24" i="18"/>
  <c r="H21" i="18"/>
  <c r="G21" i="18"/>
  <c r="F21" i="18"/>
  <c r="H18" i="18"/>
  <c r="G18" i="18"/>
  <c r="F18" i="18"/>
  <c r="I20" i="18" s="1"/>
  <c r="I21" i="18" s="1"/>
  <c r="I17" i="18"/>
  <c r="I18" i="18" s="1"/>
  <c r="H15" i="18"/>
  <c r="G15" i="18"/>
  <c r="F15" i="18"/>
  <c r="I14" i="18"/>
  <c r="I13" i="18"/>
  <c r="I9" i="18"/>
  <c r="I11" i="18" s="1"/>
  <c r="F46" i="18" l="1"/>
  <c r="F100" i="7"/>
  <c r="H46" i="18"/>
  <c r="G100" i="7"/>
  <c r="D84" i="21"/>
  <c r="E84" i="21" s="1"/>
  <c r="H100" i="7"/>
  <c r="D14" i="21"/>
  <c r="E14" i="21" s="1"/>
  <c r="D20" i="3"/>
  <c r="D112" i="21"/>
  <c r="E112" i="21" s="1"/>
  <c r="F21" i="2"/>
  <c r="G46" i="20"/>
  <c r="F37" i="2"/>
  <c r="F139" i="20"/>
  <c r="G139" i="20" s="1"/>
  <c r="I54" i="7"/>
  <c r="H774" i="8"/>
  <c r="I15" i="18"/>
  <c r="I46" i="18" s="1"/>
  <c r="I61" i="7"/>
  <c r="I77" i="7"/>
  <c r="I90" i="7"/>
  <c r="I40" i="7"/>
  <c r="H1130" i="8"/>
  <c r="H534" i="8"/>
  <c r="I44" i="7"/>
  <c r="I26" i="7"/>
  <c r="I33" i="7"/>
  <c r="F86" i="5"/>
  <c r="E86" i="5"/>
  <c r="D86" i="5"/>
  <c r="F37" i="5"/>
  <c r="E37" i="5"/>
  <c r="D37" i="5"/>
  <c r="G36" i="5"/>
  <c r="G37" i="5" s="1"/>
  <c r="F69" i="5"/>
  <c r="E69" i="5"/>
  <c r="D69" i="5"/>
  <c r="G68" i="5"/>
  <c r="G69" i="5" s="1"/>
  <c r="F23" i="8"/>
  <c r="H7" i="2"/>
  <c r="H18" i="8"/>
  <c r="H19" i="8"/>
  <c r="H20" i="8"/>
  <c r="H21" i="8"/>
  <c r="H22" i="8"/>
  <c r="D23" i="8"/>
  <c r="F25" i="5"/>
  <c r="E25" i="5"/>
  <c r="D25" i="5"/>
  <c r="G24" i="5"/>
  <c r="G25" i="5" s="1"/>
  <c r="G555" i="8"/>
  <c r="F555" i="8"/>
  <c r="E555" i="8"/>
  <c r="D555" i="8"/>
  <c r="H554" i="8"/>
  <c r="H555" i="8" s="1"/>
  <c r="G497" i="8"/>
  <c r="F497" i="8"/>
  <c r="E497" i="8"/>
  <c r="D497" i="8"/>
  <c r="H496" i="8"/>
  <c r="H495" i="8"/>
  <c r="H494" i="8"/>
  <c r="H493" i="8"/>
  <c r="G361" i="8"/>
  <c r="F361" i="8"/>
  <c r="E361" i="8"/>
  <c r="D361" i="8"/>
  <c r="H360" i="8"/>
  <c r="H359" i="8"/>
  <c r="H358" i="8"/>
  <c r="H357" i="8"/>
  <c r="G328" i="8"/>
  <c r="F328" i="8"/>
  <c r="E328" i="8"/>
  <c r="D328" i="8"/>
  <c r="H327" i="8"/>
  <c r="H326" i="8"/>
  <c r="H325" i="8"/>
  <c r="H324" i="8"/>
  <c r="D16" i="3"/>
  <c r="G55" i="5"/>
  <c r="G54" i="5"/>
  <c r="E29" i="5"/>
  <c r="D29" i="5"/>
  <c r="F29" i="5"/>
  <c r="D46" i="21" s="1"/>
  <c r="E46" i="21" s="1"/>
  <c r="G28" i="5"/>
  <c r="G29" i="5" s="1"/>
  <c r="F21" i="5"/>
  <c r="E21" i="5"/>
  <c r="D21" i="5"/>
  <c r="G20" i="5"/>
  <c r="G19" i="5"/>
  <c r="G18" i="5"/>
  <c r="G17" i="5"/>
  <c r="G84" i="5"/>
  <c r="G1001" i="8"/>
  <c r="E1001" i="8"/>
  <c r="D1001" i="8"/>
  <c r="H1000" i="8"/>
  <c r="H999" i="8"/>
  <c r="H998" i="8"/>
  <c r="G933" i="8"/>
  <c r="F933" i="8"/>
  <c r="E933" i="8"/>
  <c r="D933" i="8"/>
  <c r="H932" i="8"/>
  <c r="H931" i="8"/>
  <c r="H930" i="8"/>
  <c r="H929" i="8"/>
  <c r="H928" i="8"/>
  <c r="H927" i="8"/>
  <c r="H926" i="8"/>
  <c r="H925" i="8"/>
  <c r="H924" i="8"/>
  <c r="H923" i="8"/>
  <c r="H922" i="8"/>
  <c r="H921" i="8"/>
  <c r="H920" i="8"/>
  <c r="H919" i="8"/>
  <c r="H918" i="8"/>
  <c r="H917" i="8"/>
  <c r="H916" i="8"/>
  <c r="F24" i="2"/>
  <c r="H651" i="8"/>
  <c r="H650" i="8"/>
  <c r="H649" i="8"/>
  <c r="H648" i="8"/>
  <c r="H646" i="8"/>
  <c r="H645" i="8"/>
  <c r="H471" i="8"/>
  <c r="H470" i="8"/>
  <c r="H469" i="8"/>
  <c r="H468" i="8"/>
  <c r="H467" i="8"/>
  <c r="H466" i="8"/>
  <c r="H465" i="8"/>
  <c r="H464" i="8"/>
  <c r="D103" i="21" l="1"/>
  <c r="E103" i="21" s="1"/>
  <c r="D9" i="3"/>
  <c r="D42" i="21"/>
  <c r="E42" i="21" s="1"/>
  <c r="D10" i="3"/>
  <c r="D44" i="21"/>
  <c r="E44" i="21" s="1"/>
  <c r="D19" i="3"/>
  <c r="D104" i="21"/>
  <c r="E104" i="21" s="1"/>
  <c r="D13" i="3"/>
  <c r="D59" i="21"/>
  <c r="E59" i="21" s="1"/>
  <c r="G57" i="5"/>
  <c r="F16" i="2"/>
  <c r="F21" i="20"/>
  <c r="F17" i="2"/>
  <c r="F22" i="20"/>
  <c r="G22" i="20" s="1"/>
  <c r="F20" i="2"/>
  <c r="F38" i="20"/>
  <c r="G38" i="20" s="1"/>
  <c r="F31" i="2"/>
  <c r="F111" i="20"/>
  <c r="F33" i="2"/>
  <c r="F128" i="20"/>
  <c r="G128" i="20" s="1"/>
  <c r="F22" i="2"/>
  <c r="F50" i="20"/>
  <c r="G50" i="20" s="1"/>
  <c r="D11" i="3"/>
  <c r="H654" i="8"/>
  <c r="F19" i="2"/>
  <c r="H497" i="8"/>
  <c r="H361" i="8"/>
  <c r="H328" i="8"/>
  <c r="G21" i="5"/>
  <c r="H1001" i="8"/>
  <c r="H933" i="8"/>
  <c r="H473" i="8"/>
  <c r="G111" i="20" l="1"/>
  <c r="G21" i="20"/>
  <c r="G834" i="8"/>
  <c r="D834" i="8"/>
  <c r="H833" i="8"/>
  <c r="H832" i="8"/>
  <c r="H831" i="8"/>
  <c r="H830" i="8"/>
  <c r="H829" i="8"/>
  <c r="H828" i="8"/>
  <c r="H827" i="8"/>
  <c r="H826" i="8"/>
  <c r="G80" i="8"/>
  <c r="D80" i="8"/>
  <c r="H79" i="8"/>
  <c r="H78" i="8"/>
  <c r="H77" i="8"/>
  <c r="H76" i="8"/>
  <c r="H75" i="8"/>
  <c r="H74" i="8"/>
  <c r="H73" i="8"/>
  <c r="H72" i="8"/>
  <c r="H71" i="8"/>
  <c r="F29" i="2" l="1"/>
  <c r="F107" i="20"/>
  <c r="G107" i="20" s="1"/>
  <c r="H9" i="2"/>
  <c r="E26" i="20"/>
  <c r="H834" i="8"/>
  <c r="H80" i="8"/>
  <c r="G40" i="5"/>
  <c r="G41" i="5"/>
  <c r="G42" i="5"/>
  <c r="G43" i="5"/>
  <c r="G44" i="5"/>
  <c r="G45" i="5"/>
  <c r="G46" i="5"/>
  <c r="F47" i="5"/>
  <c r="E47" i="5"/>
  <c r="D47" i="5"/>
  <c r="F77" i="5"/>
  <c r="D114" i="21" s="1"/>
  <c r="E114" i="21" s="1"/>
  <c r="E77" i="5"/>
  <c r="D77" i="5"/>
  <c r="G76" i="5"/>
  <c r="G77" i="5" s="1"/>
  <c r="F81" i="5"/>
  <c r="E81" i="5"/>
  <c r="D81" i="5"/>
  <c r="G80" i="5"/>
  <c r="G81" i="5" s="1"/>
  <c r="F26" i="2"/>
  <c r="H733" i="8"/>
  <c r="H737" i="8"/>
  <c r="H741" i="8"/>
  <c r="H745" i="8"/>
  <c r="H747" i="8"/>
  <c r="H746" i="8"/>
  <c r="H744" i="8"/>
  <c r="H743" i="8"/>
  <c r="H742" i="8"/>
  <c r="H740" i="8"/>
  <c r="H739" i="8"/>
  <c r="H738" i="8"/>
  <c r="H736" i="8"/>
  <c r="H735" i="8"/>
  <c r="H734" i="8"/>
  <c r="H588" i="8"/>
  <c r="H9" i="8"/>
  <c r="G12" i="5"/>
  <c r="F14" i="5"/>
  <c r="D39" i="21" s="1"/>
  <c r="E14" i="5"/>
  <c r="D14" i="5"/>
  <c r="G13" i="5"/>
  <c r="G112" i="8"/>
  <c r="D112" i="8"/>
  <c r="H111" i="8"/>
  <c r="H110" i="8"/>
  <c r="H109" i="8"/>
  <c r="H108" i="8"/>
  <c r="H107" i="8"/>
  <c r="H106" i="8"/>
  <c r="H105" i="8"/>
  <c r="H104" i="8"/>
  <c r="H103" i="8"/>
  <c r="H17" i="8"/>
  <c r="H16" i="8"/>
  <c r="H15" i="8"/>
  <c r="H14" i="8"/>
  <c r="H13" i="8"/>
  <c r="H12" i="8"/>
  <c r="H11" i="8"/>
  <c r="H10" i="8"/>
  <c r="D87" i="5" l="1"/>
  <c r="E87" i="5"/>
  <c r="D113" i="21"/>
  <c r="E113" i="21" s="1"/>
  <c r="F87" i="5"/>
  <c r="G14" i="5"/>
  <c r="D14" i="3"/>
  <c r="D66" i="21"/>
  <c r="E66" i="21" s="1"/>
  <c r="E39" i="21"/>
  <c r="G26" i="20"/>
  <c r="H10" i="2"/>
  <c r="H40" i="2" s="1"/>
  <c r="E48" i="20"/>
  <c r="G48" i="20" s="1"/>
  <c r="D22" i="3"/>
  <c r="D21" i="3"/>
  <c r="D8" i="3"/>
  <c r="H749" i="8"/>
  <c r="H23" i="8"/>
  <c r="G47" i="5"/>
  <c r="H112" i="8"/>
  <c r="D119" i="21" l="1"/>
  <c r="E119" i="21"/>
  <c r="E147" i="20"/>
  <c r="F8" i="19"/>
  <c r="D66" i="20" s="1"/>
  <c r="E8" i="19"/>
  <c r="D8" i="19"/>
  <c r="G8" i="19"/>
  <c r="G9" i="11"/>
  <c r="F9" i="11"/>
  <c r="G66" i="20" l="1"/>
  <c r="D23" i="3"/>
  <c r="D24" i="3" s="1"/>
  <c r="F615" i="8"/>
  <c r="C9" i="16"/>
  <c r="D9" i="16"/>
  <c r="H9" i="11"/>
  <c r="D146" i="20" s="1"/>
  <c r="G146" i="20" s="1"/>
  <c r="D147" i="20" l="1"/>
  <c r="G85" i="5"/>
  <c r="G86" i="5" s="1"/>
  <c r="G87" i="5" s="1"/>
  <c r="I7" i="7" l="1"/>
  <c r="I9" i="7" s="1"/>
  <c r="I100" i="7" s="1"/>
  <c r="G1183" i="8" l="1"/>
  <c r="G145" i="20" s="1"/>
  <c r="D1183" i="8"/>
  <c r="F39" i="2" l="1"/>
  <c r="H1183" i="8"/>
  <c r="G615" i="8" l="1"/>
  <c r="F60" i="20" s="1"/>
  <c r="F147" i="20" s="1"/>
  <c r="E149" i="20" s="1"/>
  <c r="E151" i="20" s="1"/>
  <c r="E615" i="8"/>
  <c r="D615" i="8"/>
  <c r="H614" i="8"/>
  <c r="H613" i="8"/>
  <c r="H612" i="8"/>
  <c r="H611" i="8"/>
  <c r="H610" i="8"/>
  <c r="H609" i="8"/>
  <c r="H608" i="8"/>
  <c r="H607" i="8"/>
  <c r="H606" i="8"/>
  <c r="H603" i="8"/>
  <c r="H602" i="8"/>
  <c r="H601" i="8"/>
  <c r="H600" i="8"/>
  <c r="H599" i="8"/>
  <c r="H598" i="8"/>
  <c r="H597" i="8"/>
  <c r="H596" i="8"/>
  <c r="H595" i="8"/>
  <c r="H594" i="8"/>
  <c r="H593" i="8"/>
  <c r="H592" i="8"/>
  <c r="H591" i="8"/>
  <c r="H590" i="8"/>
  <c r="H589" i="8"/>
  <c r="H587" i="8"/>
  <c r="H586" i="8"/>
  <c r="H585" i="8"/>
  <c r="G60" i="20" l="1"/>
  <c r="G147" i="20" s="1"/>
  <c r="H615" i="8"/>
  <c r="F23" i="2"/>
  <c r="F40" i="2" s="1"/>
  <c r="H10" i="11" l="1"/>
  <c r="C6" i="4" s="1"/>
  <c r="G10" i="11"/>
  <c r="F10" i="11"/>
  <c r="I9" i="11" l="1"/>
  <c r="I10" i="11" s="1"/>
  <c r="C15" i="4" l="1"/>
  <c r="C7" i="4" l="1"/>
  <c r="C8" i="4" s="1"/>
  <c r="C21" i="4" s="1"/>
  <c r="F41" i="2" l="1"/>
  <c r="C11" i="4" s="1"/>
  <c r="C16" i="4" l="1"/>
  <c r="C17" i="4" l="1"/>
  <c r="C22" i="4"/>
  <c r="C9" i="4"/>
  <c r="C10" i="4" l="1"/>
</calcChain>
</file>

<file path=xl/sharedStrings.xml><?xml version="1.0" encoding="utf-8"?>
<sst xmlns="http://schemas.openxmlformats.org/spreadsheetml/2006/main" count="2389" uniqueCount="1181">
  <si>
    <t>S/N</t>
  </si>
  <si>
    <t>MDAs</t>
  </si>
  <si>
    <t>PAGE</t>
  </si>
  <si>
    <t>Total</t>
  </si>
  <si>
    <t>Grand Total</t>
  </si>
  <si>
    <t>A: RECURRENT EXPENDITURE</t>
  </si>
  <si>
    <t>B: CAPITAL EXPENDITURE</t>
  </si>
  <si>
    <t>ONDO STATE OF NIGERIA</t>
  </si>
  <si>
    <t>A: RECURRENT</t>
  </si>
  <si>
    <t>SUMMARY OF POOLED FUNDS</t>
  </si>
  <si>
    <t>AMOUNT (N)</t>
  </si>
  <si>
    <t>Personnel Cost</t>
  </si>
  <si>
    <t>Special Programme</t>
  </si>
  <si>
    <t>B: CAPITAL</t>
  </si>
  <si>
    <t>Total Pooled Fund from Capital</t>
  </si>
  <si>
    <t>PROJECT DETAILS</t>
  </si>
  <si>
    <t>ADMIN CODE</t>
  </si>
  <si>
    <t>ECONOMIC CODE</t>
  </si>
  <si>
    <t>PROJECT DISCRIPTION AND LOCATION</t>
  </si>
  <si>
    <t xml:space="preserve">ADITIONAL PROVISION   M'N       </t>
  </si>
  <si>
    <t>4</t>
  </si>
  <si>
    <t>6</t>
  </si>
  <si>
    <t>7</t>
  </si>
  <si>
    <t>ONDO STATE JUDICIARY</t>
  </si>
  <si>
    <t>ORANGE FM</t>
  </si>
  <si>
    <t>GENERAL ADMINISTRATION</t>
  </si>
  <si>
    <t>GRAND TOTAL</t>
  </si>
  <si>
    <t>MIN./DEPT/AGENCY</t>
  </si>
  <si>
    <t>DETAILS</t>
  </si>
  <si>
    <t>AMOUNT DEDUCTED</t>
  </si>
  <si>
    <t>9</t>
  </si>
  <si>
    <t xml:space="preserve"> GRAND TOTAL</t>
  </si>
  <si>
    <t>DETAILS OF POOLED FUND UNDER CAPITAL</t>
  </si>
  <si>
    <t>PROJECT DISCRIPTION</t>
  </si>
  <si>
    <t>SPECIAL PROGRAMMES</t>
  </si>
  <si>
    <t>Economic Code</t>
  </si>
  <si>
    <t xml:space="preserve">Details </t>
  </si>
  <si>
    <t>Additional Provision</t>
  </si>
  <si>
    <t>TOTAL</t>
  </si>
  <si>
    <t>GOVERNOR'S OFFICE-GOVERNMENT HOUSE AND PROTOCOL</t>
  </si>
  <si>
    <t>DEPUTY GOVERNOR'S OFFICE</t>
  </si>
  <si>
    <t>ONDO STATE BOUNDARY COMMISSION</t>
  </si>
  <si>
    <t>STATE EMERGENCY MANAGEMENT AGENCY (SEMA)</t>
  </si>
  <si>
    <t>LIAISON OFFICE, LAGOS</t>
  </si>
  <si>
    <t>LIAISON OFFICE, ABUJA</t>
  </si>
  <si>
    <t>ONDO STATE AGENCY FOR THE CONTROL OF AIDS (ODSACA)</t>
  </si>
  <si>
    <t>MUSLIM WELFARE BOARD</t>
  </si>
  <si>
    <t>CHRISTIAN WELFARE BOARD</t>
  </si>
  <si>
    <t>POOLS BETTINGS AND LOTTERIES BOARD</t>
  </si>
  <si>
    <t>INTER-GOVERNMENTAL AFFAIRS AND MULTILATERAL RELATIONS</t>
  </si>
  <si>
    <t>STATE HOUSE OF ASSEMBLY</t>
  </si>
  <si>
    <t>HOUSE OF ASSEMBLY COMMISSION</t>
  </si>
  <si>
    <t>ONDO STATE RADIOVISION CORPORATION</t>
  </si>
  <si>
    <t>OFFICE OF THE HEAD OF SERVICE</t>
  </si>
  <si>
    <t>PUBLIC SERVICE TRAINING INSTITUTE</t>
  </si>
  <si>
    <t>OFFICE OF ESTABLISHMENTS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</si>
  <si>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</si>
  <si>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</si>
  <si>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</si>
  <si>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</si>
  <si>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</si>
  <si>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</si>
  <si>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</si>
  <si>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</si>
  <si>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</si>
  <si>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DEBT MANAGEMENT OFFICE</t>
  </si>
  <si>
    <t>OFFICE OF THE ACCOUNTANT GENERAL</t>
  </si>
  <si>
    <t>BOARD OF INTERNAL REVENUE</t>
  </si>
  <si>
    <t>MICRO CREDIT AGENCY</t>
  </si>
  <si>
    <t>STATE INFORMATION TECHNOLOGY AGENCY (SITA)</t>
  </si>
  <si>
    <t>ONDO STATE ELECTRICITY BOARD</t>
  </si>
  <si>
    <t>ONDO STATE AGENCY FOR ROAD MAINTENANCE AND CONSTRUCTION (OSAMCO)</t>
  </si>
  <si>
    <t>MINISTRY OF CULTURE AND TOURISM</t>
  </si>
  <si>
    <t>MINISTRY OF ECONOMIC PLANNING AND BUDGET</t>
  </si>
  <si>
    <t>ONDO STATE BUREAU OF STATISTICS</t>
  </si>
  <si>
    <t>ONDO STATE WATER CORPORATION</t>
  </si>
  <si>
    <t>ONDO STATE DEVELOPMENT AND PROPERTY CORPORATION</t>
  </si>
  <si>
    <t>DIRECT LABOUR AGENCY</t>
  </si>
  <si>
    <t>MINISTRY OF LANDS AND HOUSING</t>
  </si>
  <si>
    <t>ONDO STATE JUDICIAL SERVICE COMMISSION</t>
  </si>
  <si>
    <t>MINISTRY OF JUSTICE</t>
  </si>
  <si>
    <t>ONDO STATE LAW COMMISSION</t>
  </si>
  <si>
    <t>CUSTOMARY COURT OF APPEAL</t>
  </si>
  <si>
    <t>ONDO STATE FOOTBALL DEVELOPMENT AGENCY</t>
  </si>
  <si>
    <t>MINISTRY OF WOMEN AFFAIRS AND SOCIAL DEVELOPMENT</t>
  </si>
  <si>
    <t>AGENCY FOR THE WELFARE OF THE PHYSICALLY CHALLENGED PERSONS</t>
  </si>
  <si>
    <t>STATE UNIVERSAL BASIC EDUCATION BOARD (SUBEB) HEADQUARTERS</t>
  </si>
  <si>
    <t>ONDO STATE LIBRARY BOARD</t>
  </si>
  <si>
    <t>RUFUS GIWA POLYTECHNIC, OWO</t>
  </si>
  <si>
    <t>ADEKUNLE AJASIN UNIVERSITY, AKUNGBA AKOKO</t>
  </si>
  <si>
    <t>ONDO STATE UNIVERSITY OF SCIENCE AND TECHNOLOGY, OKITIPUPA</t>
  </si>
  <si>
    <t>ONDO STATE UNIVERSITY OF MEDICAL SCIENCES</t>
  </si>
  <si>
    <t>TEACHING SERVICE COMMISSION</t>
  </si>
  <si>
    <t>ONDO STATE SCHOLARSHIP BOARD</t>
  </si>
  <si>
    <t>MINISTRY OF HEALTH</t>
  </si>
  <si>
    <t>HOSPITAL MANAGEMENT BOARD</t>
  </si>
  <si>
    <t>SCHOOL OF HEALTH TECHNOLOGY</t>
  </si>
  <si>
    <t>EMERGENCY MEDICAL SERVICES AGENCY</t>
  </si>
  <si>
    <t>NEURO-PSYCHIATRIC SPECIALIST HOSPITAL</t>
  </si>
  <si>
    <t>ONDO STATE WASTE MANAGEMENT</t>
  </si>
  <si>
    <t>ONDO STATE SPORTS COUNCIL</t>
  </si>
  <si>
    <t>LOCAL GOVERNMENT SERVICE COMMISSION</t>
  </si>
  <si>
    <t>ONDO STATE COMMUNITY AND SOCIAL DEVELOPMENT AGENCY</t>
  </si>
  <si>
    <t>OFFICE OF THE SECRETARY TO STATE GOVERNMENT (SSG)</t>
  </si>
  <si>
    <t>POLITICAL AND ECONOMIC AFFAIRS DEPARTMENT</t>
  </si>
  <si>
    <t>CABINET AND SPECIAL SERVICES DEPARTMENT</t>
  </si>
  <si>
    <t>STATE PENSION COMMISSION</t>
  </si>
  <si>
    <t>PUBLIC ACCOUNT SECRETARIAT</t>
  </si>
  <si>
    <t>OFFICE OF THE SPEAKER</t>
  </si>
  <si>
    <t>OFFICE OF THE DEPUTY SPEAKER</t>
  </si>
  <si>
    <t>GOVERNMENT PRINTING PRESS</t>
  </si>
  <si>
    <t>ONDO STATE SIGNAGE AGENCY</t>
  </si>
  <si>
    <t>FIRE SERVICES</t>
  </si>
  <si>
    <t>GOVERNMENT QUARTERS MANAGEMENT OFFICE</t>
  </si>
  <si>
    <t>E-PERSONEL ADMINISTRATION SALARY SYSTEM (E-PASS) OFFICE</t>
  </si>
  <si>
    <t>SERVICE MATTERS DEPARTMENT</t>
  </si>
  <si>
    <t>ONDO STATE INDEPENDENT ELECTORAL COMMISSION (ODIEC) AREA OFFICES</t>
  </si>
  <si>
    <t>FORESTRY STAFF TRAINING SCHOOL, OWO</t>
  </si>
  <si>
    <t>EXPENDITURE OFFICE</t>
  </si>
  <si>
    <t>CONSUMER PROTECTION COMMITTEE</t>
  </si>
  <si>
    <t>BUDGET OFFICE</t>
  </si>
  <si>
    <t>OFFICE OF HONOURABLE CHIEF JUDGE</t>
  </si>
  <si>
    <t>JUDICIARY DIVISION</t>
  </si>
  <si>
    <t>CITIZEN'S RIGHT MEDIATION CENTRE/OFFICE OF PUBLIC DEFENDERS</t>
  </si>
  <si>
    <t>OFFICE OF THE PRESIDENT OF THE CUSTOMARY COURT OF APPEAL</t>
  </si>
  <si>
    <t>CUSTOMARY COURT OF APPEAL - JUDICIAL DIVISIONS</t>
  </si>
  <si>
    <t>ZONAL EDUCATION OFFICES</t>
  </si>
  <si>
    <t>ONDO STATE EDUCATION ENDOWMENT FUND OFFICE</t>
  </si>
  <si>
    <t>STATE UNIVERSAL BASIC EDUCATION BOARD (SUBEB) ZONAL OFFICE</t>
  </si>
  <si>
    <t>MEGA SCHOOLS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</si>
  <si>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</si>
  <si>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</si>
  <si>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</si>
  <si>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</si>
  <si>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</si>
  <si>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</si>
  <si>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</si>
  <si>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</si>
  <si>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</si>
  <si>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BOARD OF ALTERNATIVE MEDICINE</t>
  </si>
  <si>
    <t>MINISTRY OF LOCAL GOVERNMENT AND CHIEFTAINCY AFFAIRS</t>
  </si>
  <si>
    <t>CONSOLIDATED REVENUE FUND CHARGES</t>
  </si>
  <si>
    <t>PERSONNEL BUFFER</t>
  </si>
  <si>
    <t>ALLOCATION TO MINISTRIES/DEPARTMENTS/AGENCIES</t>
  </si>
  <si>
    <t>PERSONNEL COST</t>
  </si>
  <si>
    <t>iv</t>
  </si>
  <si>
    <t>v</t>
  </si>
  <si>
    <t>xi</t>
  </si>
  <si>
    <t>xii</t>
  </si>
  <si>
    <t>x</t>
  </si>
  <si>
    <t xml:space="preserve">  CAPITAL</t>
  </si>
  <si>
    <t>OVERHEAD</t>
  </si>
  <si>
    <t>TOTAL POOLED FUND CAPITAL</t>
  </si>
  <si>
    <t>MIN./DEPT./AGENCY</t>
  </si>
  <si>
    <t>Details of Expenditure</t>
  </si>
  <si>
    <t>1</t>
  </si>
  <si>
    <t>2</t>
  </si>
  <si>
    <t>3</t>
  </si>
  <si>
    <t>5</t>
  </si>
  <si>
    <t>OFFICE OF SENIOR SPECIAL ASSISTANTS TO THE GOVERNOR</t>
  </si>
  <si>
    <t>ONDO STATE PENSIONS TRANSITIONAL DEPARTMENT</t>
  </si>
  <si>
    <t>FADAMA PROJECT</t>
  </si>
  <si>
    <t>ONDO STATE UN-REDD+ PROJECT</t>
  </si>
  <si>
    <t>MINISTRY OF PHYSICAL PLANNING AND URBAN DEVELOPMENT</t>
  </si>
  <si>
    <t>052100100100</t>
  </si>
  <si>
    <t>Ondo State Judiciary</t>
  </si>
  <si>
    <t>Salary Bailout</t>
  </si>
  <si>
    <t xml:space="preserve">ONDO STATE GOVERNMENT OF NIGERIA </t>
  </si>
  <si>
    <t>Transfer to OSOPADEC</t>
  </si>
  <si>
    <t>xiii</t>
  </si>
  <si>
    <t>LOCAL TRAVEL &amp; TRANSPORT: OTHERS</t>
  </si>
  <si>
    <t>TELEPHONE CHARGES</t>
  </si>
  <si>
    <t>OFFICE STATIONERIES/COMPUTER CONSUMABLES</t>
  </si>
  <si>
    <t>MAINTENANCE OF MOTOR VEHICLE/TRANSPORT EQUIPMENT</t>
  </si>
  <si>
    <t xml:space="preserve">MAINTENANCE OF OFFICE FURNITURE </t>
  </si>
  <si>
    <t>REFRESHMENT &amp; MEALS</t>
  </si>
  <si>
    <t>SPG- Public Service Car Loan Scheme</t>
  </si>
  <si>
    <t>SPG- Committees and Commissions</t>
  </si>
  <si>
    <t>SPG- Contingency Fund</t>
  </si>
  <si>
    <t>SPG- Insurance of Ondo State Govt. Assets and tracking of vehicles.</t>
  </si>
  <si>
    <t>SPG- Passages and Flights for Overseas Travels</t>
  </si>
  <si>
    <t>SPG- Settlement of Utility Bills</t>
  </si>
  <si>
    <t>SPG- State Security</t>
  </si>
  <si>
    <t>SPG- Seminar and Training for Account Officers</t>
  </si>
  <si>
    <t>SPG- Purchase of Computer Consumables for Ministry</t>
  </si>
  <si>
    <t>SPG- Printing of Release Warrant, DVEA Books and Allied Matters for Expenditure Department</t>
  </si>
  <si>
    <t>SPG- Printing of Payment Request Vouchers</t>
  </si>
  <si>
    <t>SPG- General Training of Accountants in the Civil Service</t>
  </si>
  <si>
    <t>SPG- Mandatory Continuous Professional Development Training Course (MCPD)</t>
  </si>
  <si>
    <t>SPG- Liaison with Debt Mgt. Office (DMO), Abuja</t>
  </si>
  <si>
    <t>SPG- Publicity of Activities of the Ministry</t>
  </si>
  <si>
    <t>SPG- Federation Accounts and Allocation Committee</t>
  </si>
  <si>
    <t>SPG- Consultancy cost for Debt Management Unit</t>
  </si>
  <si>
    <t>SPG- Statutory Allowance of 10% Annual Basic Salary for Retiring Civil Servants</t>
  </si>
  <si>
    <t>SPG- Capacity Building On Financial Management and Control</t>
  </si>
  <si>
    <t>SPG- Capacity building for Appropriation Committee &amp; PAC Members</t>
  </si>
  <si>
    <t>SPG- Min. Of Finance publications; News Letters and News</t>
  </si>
  <si>
    <t>SPG- Special Assignment on Financial Matters</t>
  </si>
  <si>
    <t>SPG- Maintenance of Office Premises</t>
  </si>
  <si>
    <t>SPG- Board of Survey and other Allied Matters</t>
  </si>
  <si>
    <t>SPG- RMAFC Related Matters/Consultancy on Paris Club Refund</t>
  </si>
  <si>
    <t xml:space="preserve">SPG- Monthly Tracking and Analysis of Expenditure </t>
  </si>
  <si>
    <t>SPG- Training/Study Tour</t>
  </si>
  <si>
    <t>SPG- Debt Management: Matters Affecting</t>
  </si>
  <si>
    <r>
      <t xml:space="preserve">ADMIN CODE: 022000100100: </t>
    </r>
    <r>
      <rPr>
        <sz val="9"/>
        <color theme="1"/>
        <rFont val="Times New Roman"/>
        <family val="1"/>
      </rPr>
      <t>MINISTRY OF FINANCE</t>
    </r>
  </si>
  <si>
    <r>
      <t xml:space="preserve">ACCOUNTING OFFICER:  </t>
    </r>
    <r>
      <rPr>
        <sz val="9"/>
        <rFont val="Times New Roman"/>
        <family val="1"/>
      </rPr>
      <t>PERMANENT SECRETARY, MINISTRY OF FINANCE</t>
    </r>
  </si>
  <si>
    <t>PERSONNEL (N)</t>
  </si>
  <si>
    <t xml:space="preserve">REMARKS </t>
  </si>
  <si>
    <t>Additional</t>
  </si>
  <si>
    <t>Remarks</t>
  </si>
  <si>
    <t>GRATUITY</t>
  </si>
  <si>
    <t>PENSION</t>
  </si>
  <si>
    <t>PAYMENT OF BENEFITS TO PAST GOVERNORS/DEPUTY GOVERNORS</t>
  </si>
  <si>
    <t>DOMESTIC INTEREST/DISCOUNT - SHORT TERM BORROWINGS</t>
  </si>
  <si>
    <t>OFFICE OF PUBLIC UTILITIES</t>
  </si>
  <si>
    <t>TOTAL: MINISTRY OF HEALTH</t>
  </si>
  <si>
    <t>MINISTRY OF ENVIRONMENT</t>
  </si>
  <si>
    <t>ONDO STATE INVESTMENT PROMOTION AGENCY (ONDIPA)</t>
  </si>
  <si>
    <t>Management of Government Estates and provision of infrastructures in the Estates</t>
  </si>
  <si>
    <t>TOTAL: MINISTRY OF LANDS AND HOUSING</t>
  </si>
  <si>
    <t>REMARKS</t>
  </si>
  <si>
    <t>MINISTRY OF INFORMATION AND ORIENTATION</t>
  </si>
  <si>
    <t>Amount Spent Till Date</t>
  </si>
  <si>
    <t xml:space="preserve">LOCAL TRAINING </t>
  </si>
  <si>
    <t>WELFARE PACKAGES</t>
  </si>
  <si>
    <t>OTHER GOODS &amp; SERVICES</t>
  </si>
  <si>
    <t>PERSONNEL DETAILS</t>
  </si>
  <si>
    <t>Over Heads</t>
  </si>
  <si>
    <r>
      <t>AMOUNT   (</t>
    </r>
    <r>
      <rPr>
        <b/>
        <strike/>
        <sz val="10"/>
        <color theme="1"/>
        <rFont val="Times New Roman"/>
        <family val="1"/>
      </rPr>
      <t>N</t>
    </r>
    <r>
      <rPr>
        <b/>
        <sz val="11"/>
        <color theme="1"/>
        <rFont val="Times New Roman"/>
        <family val="1"/>
      </rPr>
      <t>)</t>
    </r>
  </si>
  <si>
    <t>TOTAL POOLED</t>
  </si>
  <si>
    <t>MINISTRY OF YOUTH AND SPORTS DEVELOPMENT</t>
  </si>
  <si>
    <t>Ministry of Health</t>
  </si>
  <si>
    <t>AMOUNT SPENT TILL DATE</t>
  </si>
  <si>
    <t>CONSOLIDATED REVENUE FUND CHARGE - SALARIES</t>
  </si>
  <si>
    <t>CONTRIBUTORY PENSION (EMPLOYERS)</t>
  </si>
  <si>
    <t>Deduction</t>
  </si>
  <si>
    <t xml:space="preserve">ADDITIONAL PROVISION        </t>
  </si>
  <si>
    <t xml:space="preserve">AMOUNT SPENT TILL DATE      </t>
  </si>
  <si>
    <t>Excess Crude  Account</t>
  </si>
  <si>
    <t>Restructured Commercial Bank Loan (FGN Bond)</t>
  </si>
  <si>
    <t>Budget Support Facility</t>
  </si>
  <si>
    <t xml:space="preserve">Bond </t>
  </si>
  <si>
    <t>UBEC/SUBEB</t>
  </si>
  <si>
    <t>FACILITY</t>
  </si>
  <si>
    <t>OFFICE OF THE SPECIAL ADVISERS TO THE GOVERNOR</t>
  </si>
  <si>
    <t>MINISTRY OF REGIONAL INTEGRATION AND SPECIAL DUTIES</t>
  </si>
  <si>
    <t>INDUSTRIAL AND LABOUR RELATIONS OFFICE</t>
  </si>
  <si>
    <t>MINISTRY OF AGRICULTURE</t>
  </si>
  <si>
    <t>MINISTRY OF COMMERCE, INDUSTRIES AND COOPERATIVES</t>
  </si>
  <si>
    <t>STATE INFORMATION TECHNOLOGY AGENCY (SITA) AREA OFFICES</t>
  </si>
  <si>
    <t>OFFICE OF TRANSPORT</t>
  </si>
  <si>
    <t>OFFICE OF TRANSPORT-VEHICLE INSPECTION (AREA) OFFICE AND INLAND WATERWAYS</t>
  </si>
  <si>
    <t>MINISTRY OF NATURAL RESOURCES</t>
  </si>
  <si>
    <t>MINISTRY OF WORKS AND INFRASTRUCTURE</t>
  </si>
  <si>
    <t>YOUTH EMPLOYMENT AND SOCIAL SUPPORT OPERATIONS (YESSO)</t>
  </si>
  <si>
    <t>ONDO STATE RURAL WATER SUPPLY AND SANITATION AGENCY (RUWASSA)</t>
  </si>
  <si>
    <t>MINISTRY OF EDUCATION, SCIENCE AND TECHNOLOGY</t>
  </si>
  <si>
    <t>BOARD OF ADULT, TECHNICAL AND VOCATIONAL EDUCATION</t>
  </si>
  <si>
    <t>PRIMARY HEALTH CARE MANAGEMENT BOARD</t>
  </si>
  <si>
    <t>DIRECTORATE OF RURAL AND COMMUNITY DEVELOPMENT</t>
  </si>
  <si>
    <t>GRANTS TO PARASTATALS</t>
  </si>
  <si>
    <t>GRANTS AND LOANS</t>
  </si>
  <si>
    <t>OWENA PRESS</t>
  </si>
  <si>
    <t>vi</t>
  </si>
  <si>
    <t>vii</t>
  </si>
  <si>
    <t>viii</t>
  </si>
  <si>
    <t>ix</t>
  </si>
  <si>
    <t>DETAILS OF POOLED FUND UNDER PERSONNEL COST</t>
  </si>
  <si>
    <t>DETAILS OF POOLED FUND UNDER SPECIAL PROGRAMME</t>
  </si>
  <si>
    <t>SPECIAL PROGRAMME</t>
  </si>
  <si>
    <t>052102600100</t>
  </si>
  <si>
    <t>SUMMARY OF ALLOCATION OF POOLED FUND</t>
  </si>
  <si>
    <t>Transfer From Capital</t>
  </si>
  <si>
    <t>Amount Deducted</t>
  </si>
  <si>
    <t>STATUTORY TRANSFERS</t>
  </si>
  <si>
    <t>PRINTING OF NON SECURITY DOCUMENTS</t>
  </si>
  <si>
    <t>ONDO STATE OF NIGERIA, ESTIMATES 2019</t>
  </si>
  <si>
    <t xml:space="preserve">2019 FIRST SCHEDULE </t>
  </si>
  <si>
    <t>2019 SECOND SCHEDULE</t>
  </si>
  <si>
    <t>Approved Estimates 2019 (N)</t>
  </si>
  <si>
    <t xml:space="preserve">Malaria and Nutrition Intervention project (counterpart fund) </t>
  </si>
  <si>
    <t>04040001640101</t>
  </si>
  <si>
    <r>
      <rPr>
        <b/>
        <sz val="9"/>
        <color theme="1"/>
        <rFont val="Times New Roman"/>
        <family val="1"/>
      </rPr>
      <t>ADMIN CODE: 014000200100:</t>
    </r>
    <r>
      <rPr>
        <sz val="9"/>
        <color theme="1"/>
        <rFont val="Times New Roman"/>
        <family val="1"/>
      </rPr>
      <t xml:space="preserve"> OFFICE OF AUDITOR GENERAL FOR LOCAL GOVERNMENT   </t>
    </r>
  </si>
  <si>
    <r>
      <t xml:space="preserve">ACCOUNTING OFFICER: </t>
    </r>
    <r>
      <rPr>
        <sz val="9"/>
        <rFont val="Times New Roman"/>
        <family val="1"/>
      </rPr>
      <t>AUDITOR GENERAL,  OFFICE OF AUDITOR GENERAL FOR LOCAL GOVERNMENT</t>
    </r>
  </si>
  <si>
    <t>TOTAL: OFFICE OF AUDITOR GENERAL FOR LOCAL GOVERNMENT</t>
  </si>
  <si>
    <t>014000200100</t>
  </si>
  <si>
    <t>02090000710202</t>
  </si>
  <si>
    <t>03050003280101</t>
  </si>
  <si>
    <t>APPROVED ESTIMATES 2019 M'N</t>
  </si>
  <si>
    <t>Renovation of Newly Allocated Office Accomodation</t>
  </si>
  <si>
    <t>Training and Capacity Building for Auditors</t>
  </si>
  <si>
    <t>SPG- Sensitisation Programme</t>
  </si>
  <si>
    <t>SPG- Specialised Training</t>
  </si>
  <si>
    <t>SPG- Board Members Allowances</t>
  </si>
  <si>
    <t>SPG- Training/Manpower Development</t>
  </si>
  <si>
    <t>SPG- Sports Development Programmes</t>
  </si>
  <si>
    <t>SPG- Welfare of the Disabled Sponsorship of Persons with disabilities to Seminars and Conferences</t>
  </si>
  <si>
    <t>SPG- Physically Challenged Persons Matters Affecting</t>
  </si>
  <si>
    <r>
      <rPr>
        <b/>
        <sz val="9"/>
        <color theme="1"/>
        <rFont val="Times New Roman"/>
        <family val="1"/>
      </rPr>
      <t>ADMIN CODE: 051400100200:</t>
    </r>
    <r>
      <rPr>
        <sz val="9"/>
        <color theme="1"/>
        <rFont val="Times New Roman"/>
        <family val="1"/>
      </rPr>
      <t xml:space="preserve"> AGENCY FOR THE WELFARE OF THE PHYSICALLY CHALLENGED PERSONS   </t>
    </r>
  </si>
  <si>
    <r>
      <t xml:space="preserve">ACCOUNTING OFFICER: </t>
    </r>
    <r>
      <rPr>
        <sz val="9"/>
        <rFont val="Times New Roman"/>
        <family val="1"/>
      </rPr>
      <t>SECRETARY,  AGENCY FOR THE WELFARE OF THE PHYSICALLY CHALLENGED PERSONS</t>
    </r>
  </si>
  <si>
    <t>Office of the Auditor General for Local Government</t>
  </si>
  <si>
    <t>Auditor General For Local Government</t>
  </si>
  <si>
    <t>Agency for Physically Challenged Persons</t>
  </si>
  <si>
    <r>
      <t xml:space="preserve">ADMIN CODE: 031800100100: </t>
    </r>
    <r>
      <rPr>
        <sz val="9"/>
        <color theme="1"/>
        <rFont val="Times New Roman"/>
        <family val="1"/>
      </rPr>
      <t>ONDO STATE JUDICIARY</t>
    </r>
  </si>
  <si>
    <r>
      <t xml:space="preserve">ACCOUNTING OFFICER:  </t>
    </r>
    <r>
      <rPr>
        <sz val="9"/>
        <rFont val="Times New Roman"/>
        <family val="1"/>
      </rPr>
      <t>REGISTRAR, ONDO STATE JUDICIARY</t>
    </r>
  </si>
  <si>
    <t>SPG- Purchase of Parlliative Commodity</t>
  </si>
  <si>
    <t>SPG- VEHICLE MAINTENANCE &amp; CONSUMABLES</t>
  </si>
  <si>
    <t>SPG- ANNUAL OUTFIT ALLOWANCE</t>
  </si>
  <si>
    <t>SPG- Annual Bar Conference</t>
  </si>
  <si>
    <t>SPG- Annual Legal Year Celebration</t>
  </si>
  <si>
    <t>SPG- Annual Vacation Bonus</t>
  </si>
  <si>
    <t>SPG- Statutory Conference Workshop and Seminars for Judges and Magistrates</t>
  </si>
  <si>
    <t>SPG- Statutory Meeting of Body of Benchers NJC and NJI to be attended by Honourable Chief Judge</t>
  </si>
  <si>
    <t>SPG- Attendance at Courts</t>
  </si>
  <si>
    <t>SPG- Medical intervention for Judges</t>
  </si>
  <si>
    <t>SPG- Management of Family Court/Multi-door Court House</t>
  </si>
  <si>
    <t>SPG- Provision of Robes</t>
  </si>
  <si>
    <t>Ondo State Waste Management Authority</t>
  </si>
  <si>
    <t>ONDO STATE WASTE MANAGEMENT AUTHORITY</t>
  </si>
  <si>
    <t xml:space="preserve">Public Waste Collection </t>
  </si>
  <si>
    <t>053505300100</t>
  </si>
  <si>
    <t>05090003080127</t>
  </si>
  <si>
    <t>TOTAL: ONDO STATE WASTE MANAGEMENT AUTHORITY</t>
  </si>
  <si>
    <t>TOTAL: ONDO STATE SPORTS COUNCIL</t>
  </si>
  <si>
    <t>053905100100</t>
  </si>
  <si>
    <t>Upgrading and Maintenance of Akure and Other Stadia</t>
  </si>
  <si>
    <t>02080003640201</t>
  </si>
  <si>
    <t>MINISTRY OF WATER RESOURCES, PUBLIC SANITATION AND HYGIENE</t>
  </si>
  <si>
    <t>Water Sanitation and Hygiene (WASH) Sector Emergency Response Implementation and Empowerment.</t>
  </si>
  <si>
    <t>Take-Off grant for the new Ministry</t>
  </si>
  <si>
    <t>Renovation of the Ministry's Headquaters Headquarters Office Complex</t>
  </si>
  <si>
    <t>TOTAL: MINISTRY OF WATER RESOURCES, PUBLIC SANITATION AND HYGIENE</t>
  </si>
  <si>
    <t>Ondo State Sports Council</t>
  </si>
  <si>
    <t>Ministry of Water Resources Public Sanitation and Hygiene</t>
  </si>
  <si>
    <r>
      <rPr>
        <b/>
        <sz val="9"/>
        <color theme="1"/>
        <rFont val="Times New Roman"/>
        <family val="1"/>
      </rPr>
      <t>ADMIN CODE: 012300100100:</t>
    </r>
    <r>
      <rPr>
        <sz val="9"/>
        <color theme="1"/>
        <rFont val="Times New Roman"/>
        <family val="1"/>
      </rPr>
      <t xml:space="preserve"> MINISTRY OF INFORMATION AND ORIENTATION   </t>
    </r>
  </si>
  <si>
    <r>
      <t xml:space="preserve">ACCOUNTING OFFICER: </t>
    </r>
    <r>
      <rPr>
        <sz val="9"/>
        <rFont val="Times New Roman"/>
        <family val="1"/>
      </rPr>
      <t>PERMANENT SECRETARY,  MINISTRY OF INFORMATION AND ORIENTATION</t>
    </r>
  </si>
  <si>
    <t>SPG- Publicity of Government Activities and Strategic Information Management</t>
  </si>
  <si>
    <t>SPG- Video Centre Rentals Partnership programme</t>
  </si>
  <si>
    <t>SPG- Mass Mobilization of all Interest Groups, in Relation to Professionals and Artisans both in the Urban and the Grassroots</t>
  </si>
  <si>
    <t>SPG- National Council on Information, Strategic Conference and meeting on Public Information Management</t>
  </si>
  <si>
    <t>SPG- Maintenance of PEA Equipment</t>
  </si>
  <si>
    <t>SPG- Research project-collation and analysis of relevant data on public opinion Poll</t>
  </si>
  <si>
    <t>SPG- Publicity during Special Events</t>
  </si>
  <si>
    <t>SPG- Weigh-in Allowance</t>
  </si>
  <si>
    <t>SPG- Capacity Building</t>
  </si>
  <si>
    <t>SPG- Purchase of Diesel/Maintenance of Electricity Generating Sets and Other Assets</t>
  </si>
  <si>
    <t>SPG- Capacity Building and Professional Development Training Programmes</t>
  </si>
  <si>
    <t>SPG- Stakeholders Forum</t>
  </si>
  <si>
    <t>SPG- Monitoring Enforcement</t>
  </si>
  <si>
    <r>
      <t>ACCOUNTING OFFICER:</t>
    </r>
    <r>
      <rPr>
        <sz val="9"/>
        <rFont val="Times New Roman"/>
        <family val="1"/>
      </rPr>
      <t xml:space="preserve"> CHAIRMAN,  BOARD OF INTERNAL REVENUE</t>
    </r>
  </si>
  <si>
    <r>
      <rPr>
        <b/>
        <sz val="9"/>
        <color theme="1"/>
        <rFont val="Times New Roman"/>
        <family val="1"/>
      </rPr>
      <t>ADMIN CODE: 022000800100:</t>
    </r>
    <r>
      <rPr>
        <sz val="9"/>
        <color theme="1"/>
        <rFont val="Times New Roman"/>
        <family val="1"/>
      </rPr>
      <t xml:space="preserve"> BOARD OF INTERNAL REVENUE   </t>
    </r>
  </si>
  <si>
    <t>SPG- Procurement &amp; Printing of Revenue Generating Items (i.e) Number Plates, Drivers License &amp; Vehicle License.</t>
  </si>
  <si>
    <t>SPG- Commission to Revenue Consultant</t>
  </si>
  <si>
    <t>SPG- JTB meetings and conferences &amp; convention</t>
  </si>
  <si>
    <t>SPG- Annual JTB subvention &amp; other JTB expenses</t>
  </si>
  <si>
    <t>SPG- Mandatory Continuous Professional Development Training for tax Officers</t>
  </si>
  <si>
    <t>SPG- Subscription of Installed VSATS and Maintenance Retainership for ARCAS</t>
  </si>
  <si>
    <t>SPG- Cleaning and Security services</t>
  </si>
  <si>
    <t>SPG- Withholding, Audit, Monitoring and Investigation</t>
  </si>
  <si>
    <r>
      <t xml:space="preserve">ACCOUNTING OFFICER:  </t>
    </r>
    <r>
      <rPr>
        <sz val="9"/>
        <rFont val="Times New Roman"/>
        <family val="1"/>
      </rPr>
      <t>PERMANENT SECRETARY, STATE UNIVERSAL BASIC EDUCATION BOARD (SUBEB) HEADQUARTERS</t>
    </r>
  </si>
  <si>
    <r>
      <t xml:space="preserve">ADMIN CODE: 051700300100: </t>
    </r>
    <r>
      <rPr>
        <sz val="9"/>
        <color theme="1"/>
        <rFont val="Times New Roman"/>
        <family val="1"/>
      </rPr>
      <t>STATE UNIVERSAL BASIC EDUCATION BOARD (SUBEB) HEADQUARTERS</t>
    </r>
  </si>
  <si>
    <t>SPG- Media relations</t>
  </si>
  <si>
    <t>SPG- Grants To Primary School</t>
  </si>
  <si>
    <t>SPG- Training of Primary School Teachers &amp; Education Managers</t>
  </si>
  <si>
    <t>SPG- Wall Charts &amp; Maps For Pry &amp; Junior Secondary School</t>
  </si>
  <si>
    <t>SPG- Annual Jets Competition For Primary Schools</t>
  </si>
  <si>
    <t>SPG- Primary Schools Sports</t>
  </si>
  <si>
    <t>SPG- National Education Conferences (JCCE, Rep &amp; Planning, NCE, ESSPIN)</t>
  </si>
  <si>
    <t>SPG- Monitoring of Schools</t>
  </si>
  <si>
    <t>SPG- School Competition for Pry &amp; JSS (Nat. &amp; Int.) Gov/President Inter-School Debate, Music &amp; Creative Arts, STAN, MAN, UNESCO, NASTECH, Sensitization Programme on EFA, Space Tech etc</t>
  </si>
  <si>
    <t>SPG- Preparation Of Teachers Salary</t>
  </si>
  <si>
    <t>SPG- Subvention/Grants for Stakeholders in Basic Education( NUT, AOPSHON, PTA, etc)</t>
  </si>
  <si>
    <t>SPG- School-Based Management Committee</t>
  </si>
  <si>
    <t>SPG- Data Verification of Public Primary Schools in the State</t>
  </si>
  <si>
    <t>SPG- Training of LGA Supervisors, Data Collectors etc.</t>
  </si>
  <si>
    <t>SPG- Grants /Maintenance of Mega Schools</t>
  </si>
  <si>
    <t>SPG- FTS Participants/State Government Contribution</t>
  </si>
  <si>
    <r>
      <rPr>
        <b/>
        <sz val="9"/>
        <color theme="1"/>
        <rFont val="Times New Roman"/>
        <family val="1"/>
      </rPr>
      <t>ADMIN CODE: 052100100100:</t>
    </r>
    <r>
      <rPr>
        <sz val="9"/>
        <color theme="1"/>
        <rFont val="Times New Roman"/>
        <family val="1"/>
      </rPr>
      <t xml:space="preserve"> MINISTRY OF HEALTH  </t>
    </r>
  </si>
  <si>
    <r>
      <t xml:space="preserve">ACCOUNTING OFFICER: </t>
    </r>
    <r>
      <rPr>
        <sz val="9"/>
        <rFont val="Times New Roman"/>
        <family val="1"/>
      </rPr>
      <t>PERMANENT SECRETARY,  MINISTRY OF HEALTH</t>
    </r>
  </si>
  <si>
    <t>SPG- Management and Maintenance of Mother and Child Hospital and Other Health Facilities</t>
  </si>
  <si>
    <t>SPG- Maintenance of inmate of Ago-Ireti</t>
  </si>
  <si>
    <t>SPG- Assistance towards Medical Treatment</t>
  </si>
  <si>
    <t>04040001630102</t>
  </si>
  <si>
    <t>Malaria Elimination Programme</t>
  </si>
  <si>
    <t>TOTAL: MINISTRY OF AGRICULTURE</t>
  </si>
  <si>
    <t>021500100100</t>
  </si>
  <si>
    <t xml:space="preserve">Capacity Building for staff and butchers of livestock and Veterinary Depts. </t>
  </si>
  <si>
    <t xml:space="preserve">Procurement of Veterinary Equipment (Treatment Tables, Furniture, Sterilizers, etc for new clinics at Idanre, Iju, Ifon &amp; Ode-Irele </t>
  </si>
  <si>
    <t>Purchase of working tools for Agric officers: GPS Garmin Montana 650, Rain Boots e.t.c.</t>
  </si>
  <si>
    <t xml:space="preserve">Monitoring of Ministry Capital Projects across the State </t>
  </si>
  <si>
    <t>01010000380206</t>
  </si>
  <si>
    <t>01010000380223</t>
  </si>
  <si>
    <t>01010000410105</t>
  </si>
  <si>
    <t>01010000420207</t>
  </si>
  <si>
    <t>SPG- Gift Items During Festivities: Christmas/Salah/Children Party</t>
  </si>
  <si>
    <t>SPG- Furniture/Severance Allowance</t>
  </si>
  <si>
    <t>SPG- Conferences, Seminars and Workshops</t>
  </si>
  <si>
    <t>021511600100</t>
  </si>
  <si>
    <t>TOTAL: COCOA REVOLUTION OFFICE</t>
  </si>
  <si>
    <t>Payment of Labour wages to maintain existing rehabilitated farms, new farms (200 Workers at Oda at 50 workers per area of 400ha each)</t>
  </si>
  <si>
    <t>01010002280211</t>
  </si>
  <si>
    <t>TOTAL: MINISTRY OF JUSTICE</t>
  </si>
  <si>
    <t>032600100100</t>
  </si>
  <si>
    <t>Rent/Provision of Furniture for OPD</t>
  </si>
  <si>
    <t>Judgements Debt</t>
  </si>
  <si>
    <t>02130003170302</t>
  </si>
  <si>
    <t>05130003180201</t>
  </si>
  <si>
    <t>SPG- Website Development/Maintenace</t>
  </si>
  <si>
    <r>
      <t xml:space="preserve">ADMIN CODE: 011103500200: </t>
    </r>
    <r>
      <rPr>
        <sz val="9"/>
        <color theme="1"/>
        <rFont val="Times New Roman"/>
        <family val="1"/>
      </rPr>
      <t>STATE PENSION COMMISSION</t>
    </r>
  </si>
  <si>
    <r>
      <t xml:space="preserve">ACCOUNTING OFFICER: </t>
    </r>
    <r>
      <rPr>
        <sz val="9"/>
        <rFont val="Times New Roman"/>
        <family val="1"/>
      </rPr>
      <t>SECRETARY</t>
    </r>
    <r>
      <rPr>
        <sz val="9"/>
        <rFont val="Times New Roman"/>
        <family val="1"/>
      </rPr>
      <t>, MUSLIM WELFARE BOARD</t>
    </r>
  </si>
  <si>
    <r>
      <t xml:space="preserve">ACCOUNTING OFFICER: </t>
    </r>
    <r>
      <rPr>
        <sz val="9"/>
        <rFont val="Times New Roman"/>
        <family val="1"/>
      </rPr>
      <t>SECRETARY</t>
    </r>
    <r>
      <rPr>
        <sz val="9"/>
        <rFont val="Times New Roman"/>
        <family val="1"/>
      </rPr>
      <t>, STATE PENSION COMMISSION</t>
    </r>
  </si>
  <si>
    <r>
      <t xml:space="preserve">ADMIN CODE: 011103700100: </t>
    </r>
    <r>
      <rPr>
        <sz val="9"/>
        <color theme="1"/>
        <rFont val="Times New Roman"/>
        <family val="1"/>
      </rPr>
      <t>MUSLIM WELFARE BOARD</t>
    </r>
  </si>
  <si>
    <t>SPG- Muslim Pilgrim Operation</t>
  </si>
  <si>
    <t>SPG- Coordination of Muslim Organisation &amp; Mobilisation of Muslim Activity</t>
  </si>
  <si>
    <r>
      <t xml:space="preserve">ACCOUNTING OFFICER: </t>
    </r>
    <r>
      <rPr>
        <sz val="9"/>
        <rFont val="Times New Roman"/>
        <family val="1"/>
      </rPr>
      <t>SECRETARY, ONDO STATE SIGNAGE AGENCY</t>
    </r>
  </si>
  <si>
    <r>
      <t xml:space="preserve">ADMIN CODE: 012305600100: </t>
    </r>
    <r>
      <rPr>
        <sz val="9"/>
        <color theme="1"/>
        <rFont val="Times New Roman"/>
        <family val="1"/>
      </rPr>
      <t>ONDO STATE SIGNAGE AGENCY</t>
    </r>
  </si>
  <si>
    <t>SPG- CAPACITY BUILDING</t>
  </si>
  <si>
    <t>SPG- Annual Stakeholders Forum: Mass Mobilization of all Interest Groups on Regulation of Outdoor Structures to be used for Signage and Advertisement</t>
  </si>
  <si>
    <r>
      <t xml:space="preserve">ACCOUNTING OFFICER: </t>
    </r>
    <r>
      <rPr>
        <sz val="9"/>
        <rFont val="Times New Roman"/>
        <family val="1"/>
      </rPr>
      <t>SECRETARY, ONDO STATE INDEPENDENT ELECTORAL COMMISSION (ODIEC)</t>
    </r>
  </si>
  <si>
    <r>
      <t xml:space="preserve">ADMIN CODE: 014800100100: </t>
    </r>
    <r>
      <rPr>
        <sz val="9"/>
        <color theme="1"/>
        <rFont val="Times New Roman"/>
        <family val="1"/>
      </rPr>
      <t>ONDO STATE INDEPENDENT ELECTORAL COMMISSION (ODIEC)</t>
    </r>
  </si>
  <si>
    <t>SPG- Transition programme and Allied Activities (State INEC operations)</t>
  </si>
  <si>
    <t>TOTAL: AGRICULTURAL INPUT AND SUPPLY AGENCY</t>
  </si>
  <si>
    <t>021511000100</t>
  </si>
  <si>
    <t>Establishment of Agro-Chemical Laboratory in collaboration with Research Institute for Adaptive trial of Seed and Agro-Chemical for Efficiency and Residual Effect</t>
  </si>
  <si>
    <t>02010000990201</t>
  </si>
  <si>
    <r>
      <t xml:space="preserve">ACCOUNTING OFFICER: </t>
    </r>
    <r>
      <rPr>
        <sz val="9"/>
        <rFont val="Times New Roman"/>
        <family val="1"/>
      </rPr>
      <t>SECRETARY,  OFFICE OF SENIOR SPECIAL ASSISTANTS TO THE GOVERNOR</t>
    </r>
  </si>
  <si>
    <r>
      <rPr>
        <b/>
        <sz val="9"/>
        <color theme="1"/>
        <rFont val="Times New Roman"/>
        <family val="1"/>
      </rPr>
      <t>ADMIN CODE: 011100200100:</t>
    </r>
    <r>
      <rPr>
        <sz val="9"/>
        <color theme="1"/>
        <rFont val="Times New Roman"/>
        <family val="1"/>
      </rPr>
      <t xml:space="preserve"> OFFICE OF SENIOR SPECIAL ASSISTANTS TO THE GOVERNOR   </t>
    </r>
  </si>
  <si>
    <t>INTERNET ACCESS CHARGES</t>
  </si>
  <si>
    <t>NEWSPAPERS</t>
  </si>
  <si>
    <t>MAGAZINES &amp; PERIODICALS</t>
  </si>
  <si>
    <t>OTHER MAINTENANCE SERVICES</t>
  </si>
  <si>
    <t>CONFERENCES/SEMINARS &amp; WORKSHOP-LOCAL</t>
  </si>
  <si>
    <t>MANAGEMENT COURSES AT PUBLIC SERVICE TRAINING INSTITUTE(PSTI)</t>
  </si>
  <si>
    <t>POSTAGES &amp; COURIER SERVICES</t>
  </si>
  <si>
    <t>TOTAL: PRIMARY HEALTH CARE MANAGEMENT BOARD</t>
  </si>
  <si>
    <t>Maternal, New Born and Child Health Week</t>
  </si>
  <si>
    <t>04040002760102</t>
  </si>
  <si>
    <t>052100300100</t>
  </si>
  <si>
    <t>TOTAL: MINISTRY OF WORKS AND INFRASTRUCTURE</t>
  </si>
  <si>
    <t>023400100100</t>
  </si>
  <si>
    <t>Rehabilitation/Construction of State Highways</t>
  </si>
  <si>
    <t>02170001300106</t>
  </si>
  <si>
    <t>Ministry of Agriculture</t>
  </si>
  <si>
    <t>Agricultural Input and Supply Agency</t>
  </si>
  <si>
    <t>Cocoa Revolution Office</t>
  </si>
  <si>
    <t>Ministry of Works and Infrastructure</t>
  </si>
  <si>
    <t>Ministry of Justice</t>
  </si>
  <si>
    <t>State Universal Basic Education Board (SUBEB) Headquarters</t>
  </si>
  <si>
    <t>Primary Health Care Management Board</t>
  </si>
  <si>
    <t>Office of Senior Special Assistants to the Governor</t>
  </si>
  <si>
    <t>State Pension Commission</t>
  </si>
  <si>
    <t>Muslim Welfare Board</t>
  </si>
  <si>
    <t>Ministry of Information and Orientation</t>
  </si>
  <si>
    <t>Ondo State Signage Agency</t>
  </si>
  <si>
    <t>Ondo State Independent Electoral Commission (ODIEC)</t>
  </si>
  <si>
    <t>Board of Internal Revenue</t>
  </si>
  <si>
    <t>Ministry of Water Resources, Public Sanitation and Hygiene</t>
  </si>
  <si>
    <t>Consolidated Revenue Fund Charges</t>
  </si>
  <si>
    <t>Ministry of Finance</t>
  </si>
  <si>
    <t>APPROVED ESTIMATES 2019</t>
  </si>
  <si>
    <t>TOTAL: POLITICAL AND ECONOMIC AFFAIRS DEPARTMENT</t>
  </si>
  <si>
    <t>SPG- Joint Task Force</t>
  </si>
  <si>
    <t>SPG- Maintenance of Landscape and Beautiful Sites</t>
  </si>
  <si>
    <t>TOTAL: MINISTRY OF ENVIRONMENT</t>
  </si>
  <si>
    <t>SPG- Accreditation of Courses in GTCs and PHS</t>
  </si>
  <si>
    <t>TOTAL: BOARD OF ADULT, TECHNICAL AND VOCATIONAL EDUCATION</t>
  </si>
  <si>
    <t>SPG- Workshop/Retreat/Training for Political Office Holders</t>
  </si>
  <si>
    <t>SPG- Maintenance and Management of Emergency Medical Services</t>
  </si>
  <si>
    <t>TOTAL: EMERGENCY MEDICAL SERVICES AGENCY</t>
  </si>
  <si>
    <t>TOTAL: ONDO STATE FOOTBALL DEVELOPMENT AGENCY</t>
  </si>
  <si>
    <t xml:space="preserve">SPG- Payment of Sign-on-Fees of Players and Technical Crew of the 3 Clubs (SSFC, RSFC,SQFC and Academy), ODS Football Associations, etc </t>
  </si>
  <si>
    <t>TOTAL: ADEKUNLE AJASIN UNIVERSITY, AKUNGBA AKOKO</t>
  </si>
  <si>
    <t>03050002180201</t>
  </si>
  <si>
    <t>Construction of AAUA International Secondary School</t>
  </si>
  <si>
    <t>03050002190201</t>
  </si>
  <si>
    <t>Asphalt Laying of Ceremonial Road Serving the Senate Building</t>
  </si>
  <si>
    <t>02130000560104</t>
  </si>
  <si>
    <t>Renovation of Government Technical Colleges in the State</t>
  </si>
  <si>
    <t>01010004300305</t>
  </si>
  <si>
    <t>Establishment of Cocoa Plantation at Ijugbere, Owo</t>
  </si>
  <si>
    <t>02050000220205</t>
  </si>
  <si>
    <t>Renovation of Other Schools</t>
  </si>
  <si>
    <t>TOTAL: MINISTRY OF EDUCATION, SCIENCE AND TECHNOLOGY</t>
  </si>
  <si>
    <t>TOTAL: MINISTRY OF CULTURE AND TOURISM</t>
  </si>
  <si>
    <t>05020002400201</t>
  </si>
  <si>
    <t>Tourism Revolution</t>
  </si>
  <si>
    <t>02170001300115</t>
  </si>
  <si>
    <t>02170001300117</t>
  </si>
  <si>
    <t>Maintenance of Street Lights</t>
  </si>
  <si>
    <t>02170002570301</t>
  </si>
  <si>
    <t>Maintenance and Major Repairs of Plants and Vehicles including Purchase of Workshop Tools</t>
  </si>
  <si>
    <t>Updating of Regional &amp; Master Plans for Major Cities and Towns</t>
  </si>
  <si>
    <t>02060002120104</t>
  </si>
  <si>
    <t>TOTAL: MINISTRY OF PHYSICAL PLANNING AND URBAN DEVELOPMENT</t>
  </si>
  <si>
    <t>02060001170104</t>
  </si>
  <si>
    <t>Upgrading and Maintenance of Public Building including Legislators' Quarters</t>
  </si>
  <si>
    <t>02060001170105</t>
  </si>
  <si>
    <t>04040001570102</t>
  </si>
  <si>
    <t>Completion of abandoned building at Central Medical Store, Ondo Road</t>
  </si>
  <si>
    <t>02060002200101</t>
  </si>
  <si>
    <t>Estate Development: Acquisition of Land, Payment of Compensation and Construction of Houses</t>
  </si>
  <si>
    <t>02060002200103</t>
  </si>
  <si>
    <t>Acquisition and Compensation: Ilara Mokin and Idanre</t>
  </si>
  <si>
    <t>TOTAL: ONDO STATE DEVELOPMENT AND PROPERTY CORPORATION</t>
  </si>
  <si>
    <t>ONDO STATE AGRI-BUSINESS EMPOWERMENT CENTRE ( OSAEC )</t>
  </si>
  <si>
    <t>01010001510202</t>
  </si>
  <si>
    <t>Wealth Creation Activities: Engagement, training on skill acquisition and empowerment of 18,000 youths from across the 18 LGAs of the State</t>
  </si>
  <si>
    <t>01010004120301</t>
  </si>
  <si>
    <t>OSAEC Project</t>
  </si>
  <si>
    <t>01010004270303</t>
  </si>
  <si>
    <t>Loan/Fund for Production of Maize, Sorghum, Soya Beans, Aqua Culture and Livestock</t>
  </si>
  <si>
    <t>05100000830101</t>
  </si>
  <si>
    <t>National Urban Water Supply Sector Reform Project (Counterpart Fund)</t>
  </si>
  <si>
    <t>TOTAL: ONDO STATE AGRI-BUSINESS EMPOWERMENT CENTRE (OSAEC)</t>
  </si>
  <si>
    <t>TOTAL: ONDO STATE WATER CORPORATION</t>
  </si>
  <si>
    <t>05090003080102</t>
  </si>
  <si>
    <t>Quarterly De-silting of Drainage in Major Towns</t>
  </si>
  <si>
    <t>TOTAL: ONDO STATE WASTE MANAGEMENT</t>
  </si>
  <si>
    <t>Construction of Administrative Building</t>
  </si>
  <si>
    <t>02060001800109</t>
  </si>
  <si>
    <t>02060001800111</t>
  </si>
  <si>
    <t>University Auditorium</t>
  </si>
  <si>
    <t>TOTAL: ONDO STATE UNIVERSITY OF SCIENCE AND TECHNOLOGY, OKITIPUPA</t>
  </si>
  <si>
    <t>02050004180101</t>
  </si>
  <si>
    <t>Provision of University Facilities</t>
  </si>
  <si>
    <t>TOTAL: ONDO STATE UNIVERSITY OF MEDICAL SCIENCES</t>
  </si>
  <si>
    <t>02100000700118</t>
  </si>
  <si>
    <t>KAMOMI AKETI Accelerated Water Scheme</t>
  </si>
  <si>
    <t>TOTAL: ONDO STATE RURAL WATER SUPPLY AND SANITATION AGENCY (RUWASSA)</t>
  </si>
  <si>
    <t>TOTAL: ONDO STATE JUDICIARY</t>
  </si>
  <si>
    <t>Conduct of Local Government Election</t>
  </si>
  <si>
    <t>05130001450101</t>
  </si>
  <si>
    <t>TOTAL: ONDO STATE INDEPENDENT ELECTORAL COMMISSION (ODIEC)</t>
  </si>
  <si>
    <t>02170002340101</t>
  </si>
  <si>
    <t>Maintenance of Urban and Rural Roads in Ondo State</t>
  </si>
  <si>
    <t>TOTAL: ONDO STATE AGENCY FOR ROAD MAINTENANCE AND CONSTRUCTION (OSAMCO)</t>
  </si>
  <si>
    <t>ONDO STATE RURAL ACCESS AND AGRICULTURAL MARKETING PROJECT (RAAMP)</t>
  </si>
  <si>
    <t>TOTAL: OFFICE OF TRANSPORT</t>
  </si>
  <si>
    <t>Clearing of Water Hycinth and Weeds along State Waterways</t>
  </si>
  <si>
    <t>02160000740101</t>
  </si>
  <si>
    <t>TOTAL: STATE INFORMATION TECHNOLOGY AGENCY (SITA)</t>
  </si>
  <si>
    <t>Development of Centralized Data Services for Residency Card</t>
  </si>
  <si>
    <t>03110000280201</t>
  </si>
  <si>
    <t>03110001670102</t>
  </si>
  <si>
    <t>Provision/Deployment of Network Backbone Infrastructure</t>
  </si>
  <si>
    <t>Rural Electrification Projects across the State</t>
  </si>
  <si>
    <t>02140001530104</t>
  </si>
  <si>
    <t>Construction of Street Light</t>
  </si>
  <si>
    <t>02140001530105</t>
  </si>
  <si>
    <t>TOTAL: ONDO STATE ELECTRICITY BOARD</t>
  </si>
  <si>
    <t>TOTAL: STATE PENSION COMMISSION</t>
  </si>
  <si>
    <t>Ict/Setting up of Pension Management Information System(MIS)</t>
  </si>
  <si>
    <t>02110000900315</t>
  </si>
  <si>
    <t>02120001110103</t>
  </si>
  <si>
    <t>Industrial City Survey Plan (3 Senatorial Districts)</t>
  </si>
  <si>
    <t>Enumerator of Economic Crops and Assets @N20m per Senatorial District</t>
  </si>
  <si>
    <t>02120001110107</t>
  </si>
  <si>
    <t>Ease of Doing Business/ONDIPA NIPC Certification</t>
  </si>
  <si>
    <t>02120001140103</t>
  </si>
  <si>
    <t>02120001150101</t>
  </si>
  <si>
    <t>Establishment/Management of Deep Sea Port</t>
  </si>
  <si>
    <t>TOTAL: ONDO STATE INVESTMENT PROMOTION AGENCY (ONDIPA)</t>
  </si>
  <si>
    <t>TOTAL: ONDO STATE LIBRARY BOARD</t>
  </si>
  <si>
    <t xml:space="preserve">Construction of online E-library </t>
  </si>
  <si>
    <t>03050004340106</t>
  </si>
  <si>
    <r>
      <rPr>
        <b/>
        <sz val="9"/>
        <color theme="1"/>
        <rFont val="Times New Roman"/>
        <family val="1"/>
      </rPr>
      <t>ADMIN CODE: 012500800100:</t>
    </r>
    <r>
      <rPr>
        <sz val="9"/>
        <color theme="1"/>
        <rFont val="Times New Roman"/>
        <family val="1"/>
      </rPr>
      <t xml:space="preserve"> SERVICE MATTERS DEPARTMENT   </t>
    </r>
  </si>
  <si>
    <t>SPG- Civil Service Day Celebration and Award Night</t>
  </si>
  <si>
    <t>SPG- Conduct of Civil Service Examination (junior) and Senior Staff</t>
  </si>
  <si>
    <t>SPG- Senior Management Committee</t>
  </si>
  <si>
    <t>SPG- Specialized Capacity Building Programme for Administrative Officers</t>
  </si>
  <si>
    <t>SPG- Financial Assistance to families of Deceased Officers</t>
  </si>
  <si>
    <t>SPG- HOS Interactive Sessions with Public Service</t>
  </si>
  <si>
    <t>SPG- Conduct of Promotion Examinations for Senior Officers</t>
  </si>
  <si>
    <t>SPG- Civil Service Reforms</t>
  </si>
  <si>
    <t>SPG- Grant to staff Housing Loan Board</t>
  </si>
  <si>
    <t>SPG- Hosting of/Participation in South West Head of Service Summit</t>
  </si>
  <si>
    <t>Allocation of the Direct Labour Engineering Unit(DILEU) Ministry of Works</t>
  </si>
  <si>
    <t>Service Matters Department</t>
  </si>
  <si>
    <r>
      <t xml:space="preserve">ACCOUNTING OFFICER: </t>
    </r>
    <r>
      <rPr>
        <sz val="9"/>
        <rFont val="Times New Roman"/>
        <family val="1"/>
      </rPr>
      <t>PERMANENT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SECRETARY,  SERVICE MATTERS DEPARTMENT</t>
    </r>
  </si>
  <si>
    <r>
      <t xml:space="preserve">ACCOUNTING OFFICER:  </t>
    </r>
    <r>
      <rPr>
        <sz val="9"/>
        <rFont val="Times New Roman"/>
        <family val="1"/>
      </rPr>
      <t>PERMANENT SECRETARY, MINISTRY OF LOCAL GOVERNMENT AND CHIEFTAINCY AFFAIRS</t>
    </r>
  </si>
  <si>
    <t>SPG- Conference/Seminar for Council of Obas</t>
  </si>
  <si>
    <t>SPG- Ondo State Council of Obas - Stipend, Sitting Allowance for members of Council, and General Welfare of Traditional Rulers</t>
  </si>
  <si>
    <t>SPG- State contribution to Burial Ceremonies of Obas in Ondo State</t>
  </si>
  <si>
    <t>SPG- Production of Compendium of all Past Reports &amp; White Paper on Chieftaincies in Ondo State</t>
  </si>
  <si>
    <t>SPG- Quarterly Interaction by Mr. Governor with Ondo State Council of Obas</t>
  </si>
  <si>
    <t>SPG- Crisis Management and Peace Meetings</t>
  </si>
  <si>
    <r>
      <t xml:space="preserve">ADMIN CODE: 032605200100: </t>
    </r>
    <r>
      <rPr>
        <sz val="9"/>
        <color theme="1"/>
        <rFont val="Times New Roman"/>
        <family val="1"/>
      </rPr>
      <t>CUSTOMARY COURT OF APPEAL</t>
    </r>
  </si>
  <si>
    <r>
      <t xml:space="preserve">ACCOUNTING OFFICER:  </t>
    </r>
    <r>
      <rPr>
        <sz val="9"/>
        <rFont val="Times New Roman"/>
        <family val="1"/>
      </rPr>
      <t>REGISTRAR, CUSTOMARY COURT OF APPEAL</t>
    </r>
  </si>
  <si>
    <t>SPG- Annual Vacation for the President and other Judges</t>
  </si>
  <si>
    <t>SPG- Printing of Diary and Calendar for the year</t>
  </si>
  <si>
    <t>SPG-Valendictory/Sendforth Programme</t>
  </si>
  <si>
    <t>Ministry of Local Government and  Chieftaincy Affairs</t>
  </si>
  <si>
    <t>Customary Court of Appeal</t>
  </si>
  <si>
    <t>053500100100</t>
  </si>
  <si>
    <t>Procurement of New Swamp Excavator with 13.5 Meters Long Reach</t>
  </si>
  <si>
    <t>Ministry of Environment</t>
  </si>
  <si>
    <t>Ministry of Commerce, Industry and Cooperative Services</t>
  </si>
  <si>
    <t>Personnel Buffer</t>
  </si>
  <si>
    <r>
      <rPr>
        <b/>
        <sz val="9"/>
        <color theme="1"/>
        <rFont val="Times New Roman"/>
        <family val="1"/>
      </rPr>
      <t>ADMIN CODE: 011105200100:</t>
    </r>
    <r>
      <rPr>
        <sz val="9"/>
        <color theme="1"/>
        <rFont val="Times New Roman"/>
        <family val="1"/>
      </rPr>
      <t xml:space="preserve"> PUBLIC SERVICE REFORM AND DEVELOPMENT   </t>
    </r>
  </si>
  <si>
    <r>
      <t xml:space="preserve">ACCOUNTING OFFICER: </t>
    </r>
    <r>
      <rPr>
        <sz val="9"/>
        <rFont val="Times New Roman"/>
        <family val="1"/>
      </rPr>
      <t>SECRETARY,  PUBLIC SERVICE REFORM AND DEVELOPMENT</t>
    </r>
  </si>
  <si>
    <r>
      <rPr>
        <b/>
        <sz val="9"/>
        <color theme="1"/>
        <rFont val="Times New Roman"/>
        <family val="1"/>
      </rPr>
      <t>ADMIN CODE: 011101400100:</t>
    </r>
    <r>
      <rPr>
        <sz val="9"/>
        <color theme="1"/>
        <rFont val="Times New Roman"/>
        <family val="1"/>
      </rPr>
      <t xml:space="preserve"> POLITICAL AND ECONOMIC AFFAIRS DEPARTMENT   </t>
    </r>
  </si>
  <si>
    <r>
      <t xml:space="preserve">ACCOUNTING OFFICER: </t>
    </r>
    <r>
      <rPr>
        <sz val="9"/>
        <rFont val="Times New Roman"/>
        <family val="1"/>
      </rPr>
      <t>PERMANENT SECRETARY,  POLITICAL AND ECONOMIC AFFAIRS DEPARTMENT</t>
    </r>
  </si>
  <si>
    <t>Public Service Reform and Development</t>
  </si>
  <si>
    <t>SPG- International Day of the Disables</t>
  </si>
  <si>
    <t>SPG-Election Petition Tribunal Matters Affecting</t>
  </si>
  <si>
    <t>Contingency</t>
  </si>
  <si>
    <r>
      <t xml:space="preserve">ADMIN CODE: 055100100100: </t>
    </r>
    <r>
      <rPr>
        <sz val="9"/>
        <color theme="1"/>
        <rFont val="Times New Roman"/>
        <family val="1"/>
      </rPr>
      <t>MINISTRY OF LOCAL GOVERNMENT AND CHIEFTAINCY AFFAIRS</t>
    </r>
  </si>
  <si>
    <t>025200100100</t>
  </si>
  <si>
    <t>Project Supervision, Monitoring and Publicity/Advocacy</t>
  </si>
  <si>
    <t>01010002280209</t>
  </si>
  <si>
    <t>SPG- Domestic Passage</t>
  </si>
  <si>
    <t>SPG- Hosting of State Guests during Special Events</t>
  </si>
  <si>
    <t>SPG- Economic Summit</t>
  </si>
  <si>
    <t>SPG- Budget Reform, Preparation of MTEF and Allied Matters</t>
  </si>
  <si>
    <t>Construction of New Governor and Deputy Governor Lodge</t>
  </si>
  <si>
    <t>02060001290101</t>
  </si>
  <si>
    <r>
      <rPr>
        <b/>
        <sz val="9"/>
        <color theme="1"/>
        <rFont val="Times New Roman"/>
        <family val="1"/>
      </rPr>
      <t>ADMIN CODE: 032600100100:</t>
    </r>
    <r>
      <rPr>
        <sz val="9"/>
        <color theme="1"/>
        <rFont val="Times New Roman"/>
        <family val="1"/>
      </rPr>
      <t xml:space="preserve"> MINISTRY OF JUSTICE   </t>
    </r>
  </si>
  <si>
    <r>
      <t xml:space="preserve">ACCOUNTING OFFICER: </t>
    </r>
    <r>
      <rPr>
        <sz val="9"/>
        <rFont val="Times New Roman"/>
        <family val="1"/>
      </rPr>
      <t>PERMANENT SECRETARY AND SOLICITOR GENERAL,  MINISTRY OF JUSTICE</t>
    </r>
  </si>
  <si>
    <t>ELECTRICITY CHARGES</t>
  </si>
  <si>
    <r>
      <t xml:space="preserve">ADMIN CODE: 011100100100: </t>
    </r>
    <r>
      <rPr>
        <sz val="9"/>
        <color theme="1"/>
        <rFont val="Times New Roman"/>
        <family val="1"/>
      </rPr>
      <t>GOVERNOR'S OFFICE-GOVERNMENT HOUSE AND PROTOCOL</t>
    </r>
  </si>
  <si>
    <r>
      <t xml:space="preserve">ACCOUNTING OFFICER: </t>
    </r>
    <r>
      <rPr>
        <sz val="9"/>
        <rFont val="Times New Roman"/>
        <family val="1"/>
      </rPr>
      <t>PERMANENT SECRETARY, GOVERNOR'S OFFICE-GOVERNMENT HOUSE AND PROTOCOL</t>
    </r>
  </si>
  <si>
    <t>SPG- Donation</t>
  </si>
  <si>
    <t>SPG- Maintenance of Boats</t>
  </si>
  <si>
    <t>SPG- Maintenance of Government House</t>
  </si>
  <si>
    <t>SPG- Settlement of Hotel bills</t>
  </si>
  <si>
    <t>SPG- Programmes for the Office of the SSAs</t>
  </si>
  <si>
    <t>SPG- Supply of Petroleum Product into Fuel Dump</t>
  </si>
  <si>
    <t>SPG- Office of the SSA on Youth and Students' Affairs</t>
  </si>
  <si>
    <t>SPG- Office of the Chief of Staff</t>
  </si>
  <si>
    <t>SPG- Office of SSA on Public Communication</t>
  </si>
  <si>
    <t>SPG- Office of the SSA on Special Duty and Strategy</t>
  </si>
  <si>
    <t xml:space="preserve">SPG- Office of the SSA on Administration and Policy Planning </t>
  </si>
  <si>
    <t>SPG- Office of ADC, CSO, Chief Detail and Orderly</t>
  </si>
  <si>
    <t>-</t>
  </si>
  <si>
    <t>Governor's Office-Government House and Protocol</t>
  </si>
  <si>
    <t>PROVISION FOR OTHER GRANTS AND LOANS</t>
  </si>
  <si>
    <t>NIGERIA SECURITY AND CIVIL DEFENCE CORPS</t>
  </si>
  <si>
    <t>NIGERIAN LEGION</t>
  </si>
  <si>
    <t>SENIOR STAFF CLUB</t>
  </si>
  <si>
    <t>ONDO STATE AFORESTATION PROJECT</t>
  </si>
  <si>
    <t>ONDO STATE UNIVERSITY OF MEDICAL SCIENCES TEACHING HOSPITAL</t>
  </si>
  <si>
    <t>ONDO STATE FOOTBALL ACADEMY</t>
  </si>
  <si>
    <t>Contingency/Additional</t>
  </si>
  <si>
    <r>
      <t xml:space="preserve">ADMIN CODE: 011101300200: </t>
    </r>
    <r>
      <rPr>
        <sz val="9"/>
        <color theme="1"/>
        <rFont val="Times New Roman"/>
        <family val="1"/>
      </rPr>
      <t>GENERAL ADMINISTRATION</t>
    </r>
  </si>
  <si>
    <r>
      <t xml:space="preserve">ACCOUNTING OFFICER: </t>
    </r>
    <r>
      <rPr>
        <sz val="9"/>
        <rFont val="Times New Roman"/>
        <family val="1"/>
      </rPr>
      <t>PERMANENT SECRETARY, GENERAL ADMINISTRATION</t>
    </r>
  </si>
  <si>
    <t>SPG- Cleaning of the Secretariat Complex and other Government Offices and other Ancillary Activities</t>
  </si>
  <si>
    <t>SPG- Provision of Security Services at State Secretariat Complex</t>
  </si>
  <si>
    <t>General Administration Department</t>
  </si>
  <si>
    <t>02130000470101</t>
  </si>
  <si>
    <t>Purchase of 22 nos Prado Jeeps for Magistrates and Judicial Officers</t>
  </si>
  <si>
    <t>02060002430102</t>
  </si>
  <si>
    <t>Office Renovation, Equipment and Furniture.</t>
  </si>
  <si>
    <t>Improved Water Supply and Sanitation Co-ordination, Monitoring and Evaluation.</t>
  </si>
  <si>
    <t>Implementation of Water Sector Law; Development of Frameworks, Policy Development, Review, Implementation and Dissemination.</t>
  </si>
  <si>
    <t>Detailed Surveys and Investigations of the Potentials of Ondo State Rivers for Hydro-Power Generation, Irrigation activities, Recreational Activities; Water Production and Supply/Development of State Water Resources Master Plan.</t>
  </si>
  <si>
    <t>Improvement on Policy Guideline for Hygiene Promotion and Education in Households of Urban and Villages</t>
  </si>
  <si>
    <t>02100004630102</t>
  </si>
  <si>
    <t>05100004620101</t>
  </si>
  <si>
    <t>0510004620102</t>
  </si>
  <si>
    <t>05100004720103</t>
  </si>
  <si>
    <t>05100004720104</t>
  </si>
  <si>
    <t>05100004720102</t>
  </si>
  <si>
    <t>02100004630101</t>
  </si>
  <si>
    <r>
      <t xml:space="preserve">ADMIN CODE: 053905100100: </t>
    </r>
    <r>
      <rPr>
        <sz val="9"/>
        <color theme="1"/>
        <rFont val="Times New Roman"/>
        <family val="1"/>
      </rPr>
      <t>ONDO STATE SPORTS COUNCIL</t>
    </r>
  </si>
  <si>
    <r>
      <t xml:space="preserve">ACCOUNTING OFFICER:  </t>
    </r>
    <r>
      <rPr>
        <sz val="9"/>
        <rFont val="Times New Roman"/>
        <family val="1"/>
      </rPr>
      <t>GENERAL MANAGER, ONDO STATE SPORTS COUNCIL</t>
    </r>
  </si>
  <si>
    <t>SPG- MAINTENANCE &amp; FUELING OF GENERATOR</t>
  </si>
  <si>
    <t>SPG- National Competitions</t>
  </si>
  <si>
    <t>SPG- Zonal Elimination</t>
  </si>
  <si>
    <t>SPG- International Competitions</t>
  </si>
  <si>
    <t>SPG- Male and Female Handball</t>
  </si>
  <si>
    <t>SPG- Male and female Basketball</t>
  </si>
  <si>
    <t>SPG- Male and Female Hockey Teams</t>
  </si>
  <si>
    <t>SPG- Male and Female Volleyball Teams</t>
  </si>
  <si>
    <t>SPG- Male and Female Challenge Cup</t>
  </si>
  <si>
    <t>SPG- Governors Cup Football (Male and Female) and Age Group Football Competition.</t>
  </si>
  <si>
    <t>SPG- National Sports Festival (Camping)</t>
  </si>
  <si>
    <t>SPG- National Sports festival (Festival Proper)</t>
  </si>
  <si>
    <t>SPG- Developmental Programme for all Sports(Catch them Young)</t>
  </si>
  <si>
    <t>SPG- Hosting of National Competitions, Boxing and Gymnastics.</t>
  </si>
  <si>
    <t>SPG- Local in-service Training</t>
  </si>
  <si>
    <t>SPG- Allowance and Stipends of Athletes for NSF.</t>
  </si>
  <si>
    <t>SPG- Age Group, National and International Table Tennis Competition</t>
  </si>
  <si>
    <t>SPG- Management of Athletics Activities</t>
  </si>
  <si>
    <t>SPG- Management of Sunshine Queens Football Club</t>
  </si>
  <si>
    <t>SPG- Female Football League</t>
  </si>
  <si>
    <t xml:space="preserve">SPG- Athletes: Cycling, Squash Racket, Weightlifting, etc </t>
  </si>
  <si>
    <r>
      <t xml:space="preserve">ADMIN CODE: 051700100100: </t>
    </r>
    <r>
      <rPr>
        <sz val="9"/>
        <color theme="1"/>
        <rFont val="Times New Roman"/>
        <family val="1"/>
      </rPr>
      <t>MINISTRY OF EDUCATION, SCIENCE AND TECHNOLOGY</t>
    </r>
  </si>
  <si>
    <r>
      <t xml:space="preserve">ACCOUNTING OFFICER:  </t>
    </r>
    <r>
      <rPr>
        <sz val="9"/>
        <rFont val="Times New Roman"/>
        <family val="1"/>
      </rPr>
      <t>PERMANENT SECRETARY, MINISTRY OF EDUCATION, SCIENCE AND TECHNOLOGY</t>
    </r>
  </si>
  <si>
    <t>SPG- Monitoring of Schools/Operational Vote</t>
  </si>
  <si>
    <t>SPG- Running Grant to Sec. Schools</t>
  </si>
  <si>
    <t>SPG- Feeding &amp; Maintenance of 4 Special Schools</t>
  </si>
  <si>
    <t>SPG- J.S.S.C.E</t>
  </si>
  <si>
    <t>SPG- National Education Competition in Sec. Schools</t>
  </si>
  <si>
    <t>SPG- JETS Competitions</t>
  </si>
  <si>
    <t>SPG- Printing of C.A Documents</t>
  </si>
  <si>
    <t>SPG- School Examination (Unity Common Entrance Exams/GTC, etc)</t>
  </si>
  <si>
    <t>SPG- Schools Sport: Secondary Schools</t>
  </si>
  <si>
    <t>SPG- Training Programme for Education Officers, Education Managers and other Related Personnel</t>
  </si>
  <si>
    <t>SPG- School Census, Data Analysis and Research</t>
  </si>
  <si>
    <t>SPG- National Education Conference including subject Assoc. for 56 core subjects, National Council on Education</t>
  </si>
  <si>
    <t>SPG- Guidance and Counseling Therapy on Career Choice for Students</t>
  </si>
  <si>
    <t>SPG- Examination Ethics &amp; Disciplinary Committee Programme.</t>
  </si>
  <si>
    <t>SPG- Science Conference &amp; Diaspora Day Celebration.</t>
  </si>
  <si>
    <t>SPG- Collection, Collation &amp; Analysis of Education Statistics</t>
  </si>
  <si>
    <t>SPG- WAEC/SSCE/JAMB Monitoring</t>
  </si>
  <si>
    <t>SPG- Application of Psychology Test Instrument.</t>
  </si>
  <si>
    <t>SPG- Monitoring of Projects/Preparation of Tender documents</t>
  </si>
  <si>
    <t>SPG- STAN National Conference</t>
  </si>
  <si>
    <t>SPG- World Teachers' Day Celebration</t>
  </si>
  <si>
    <t>TOTAL: CONSOLIDATED REVENUE FUND CHARGES</t>
  </si>
  <si>
    <t>TOTAL: GOVERNOR'S OFFICE-GOVERNMENT HOUSE AND PROTOCOL</t>
  </si>
  <si>
    <t>TOTAL: MINISTRY OF ECONOMIC PLANNING AND BUDGET</t>
  </si>
  <si>
    <t>051700100100</t>
  </si>
  <si>
    <t>Joint SS II Promotion Examination</t>
  </si>
  <si>
    <t>03050002740301</t>
  </si>
  <si>
    <t>Ministry of Education, Science and Technology</t>
  </si>
  <si>
    <t>221003366</t>
  </si>
  <si>
    <t>SPG-Upkeep of Volunteer Corps and 5% Overhead Administrative Charges</t>
  </si>
  <si>
    <t>Purchase of 3 nos Prado Jeeps for Magistrates and Judicial Officers</t>
  </si>
  <si>
    <t>031800100100</t>
  </si>
  <si>
    <t>025305700100</t>
  </si>
  <si>
    <t>02060002210101</t>
  </si>
  <si>
    <t>TOTAL: DIRECT LABOUR AGENCY</t>
  </si>
  <si>
    <t>Direct Labour Jobs</t>
  </si>
  <si>
    <t>032605200100</t>
  </si>
  <si>
    <t>TOTAL: CUSTOMARY COURT OF APPEAL</t>
  </si>
  <si>
    <t>Direct Labour Agency</t>
  </si>
  <si>
    <r>
      <t xml:space="preserve">ACCOUNTING OFFICER: </t>
    </r>
    <r>
      <rPr>
        <sz val="9"/>
        <rFont val="Times New Roman"/>
        <family val="1"/>
      </rPr>
      <t>PERMANENT SECRETARY, POLITICAL AND ECONOMIC AFFAIRS DEPARTMENT</t>
    </r>
  </si>
  <si>
    <r>
      <t xml:space="preserve">ADMIN CODE: 011101400100: </t>
    </r>
    <r>
      <rPr>
        <sz val="9"/>
        <color theme="1"/>
        <rFont val="Times New Roman"/>
        <family val="1"/>
      </rPr>
      <t>POLITICAL AND ECONOMIC AFFAIRS DEPARTMENT</t>
    </r>
  </si>
  <si>
    <t>SPG- Events Management, Production of Souvenirs and others</t>
  </si>
  <si>
    <t>SPG- Hosting of visitors/participants on study tour of Ondo State</t>
  </si>
  <si>
    <t>SPG- Independence anniversary</t>
  </si>
  <si>
    <t>SPG- Opinion Poll research</t>
  </si>
  <si>
    <t>SPG- Monetization for public Office Holders</t>
  </si>
  <si>
    <t>SPG- Democracy day</t>
  </si>
  <si>
    <t>SPG- Upkeep of Volunteer Corps and 5% overhead Administrative charges.</t>
  </si>
  <si>
    <t>Political and Economic Affairs Department</t>
  </si>
  <si>
    <t>SPG- Printing of Pension/Retirement Paper/Profoma/Forms</t>
  </si>
  <si>
    <t>SPG- Preparatory Training for Retiring Officers from the Public Service</t>
  </si>
  <si>
    <t>SPF-Pension Day Celebtration</t>
  </si>
  <si>
    <t>Farming Out of Cases</t>
  </si>
  <si>
    <t>04020001490101</t>
  </si>
  <si>
    <t>State Pension Transition</t>
  </si>
  <si>
    <r>
      <t xml:space="preserve">ADMIN CODE: 011103500100: </t>
    </r>
    <r>
      <rPr>
        <sz val="9"/>
        <color theme="1"/>
        <rFont val="Times New Roman"/>
        <family val="1"/>
      </rPr>
      <t>STATE PENSION TRANSITION</t>
    </r>
  </si>
  <si>
    <r>
      <t xml:space="preserve">ACCOUNTING OFFICER: </t>
    </r>
    <r>
      <rPr>
        <sz val="9"/>
        <rFont val="Times New Roman"/>
        <family val="1"/>
      </rPr>
      <t>SECRETARY, STATE PENSION TRANSITION</t>
    </r>
  </si>
  <si>
    <t>ONDO STATE OF NIGERIA </t>
  </si>
  <si>
    <t>THIRD  SCHEDULE</t>
  </si>
  <si>
    <t>Admin Code</t>
  </si>
  <si>
    <t>Executing Agency</t>
  </si>
  <si>
    <t>Personnel</t>
  </si>
  <si>
    <t>Overhead Cost</t>
  </si>
  <si>
    <t>Special Programmes</t>
  </si>
  <si>
    <t>011100100100</t>
  </si>
  <si>
    <t>011100100200</t>
  </si>
  <si>
    <t>011100200100</t>
  </si>
  <si>
    <t>011100200300</t>
  </si>
  <si>
    <t>011100300100</t>
  </si>
  <si>
    <t>011101000100</t>
  </si>
  <si>
    <t>BUREAU OF PUBLIC PROCUREMENT (BPP)</t>
  </si>
  <si>
    <t>011101300100</t>
  </si>
  <si>
    <t>8</t>
  </si>
  <si>
    <t>011101300200</t>
  </si>
  <si>
    <t>011101400100</t>
  </si>
  <si>
    <t>10</t>
  </si>
  <si>
    <t>011101700100</t>
  </si>
  <si>
    <t>11</t>
  </si>
  <si>
    <t>011102000100</t>
  </si>
  <si>
    <t>12</t>
  </si>
  <si>
    <t>011102100100</t>
  </si>
  <si>
    <t>13</t>
  </si>
  <si>
    <t>011102100200</t>
  </si>
  <si>
    <t>14</t>
  </si>
  <si>
    <t>011103300100</t>
  </si>
  <si>
    <t>15</t>
  </si>
  <si>
    <t>011103500100</t>
  </si>
  <si>
    <t>16</t>
  </si>
  <si>
    <t>011103500200</t>
  </si>
  <si>
    <t>17</t>
  </si>
  <si>
    <t>011103700100</t>
  </si>
  <si>
    <t>18</t>
  </si>
  <si>
    <t>011103800100</t>
  </si>
  <si>
    <t>19</t>
  </si>
  <si>
    <t>011104400100</t>
  </si>
  <si>
    <t>20</t>
  </si>
  <si>
    <t>011105100100</t>
  </si>
  <si>
    <t>22</t>
  </si>
  <si>
    <t>011113200100</t>
  </si>
  <si>
    <t>23</t>
  </si>
  <si>
    <t>011200300100</t>
  </si>
  <si>
    <t>24</t>
  </si>
  <si>
    <t>011200400100</t>
  </si>
  <si>
    <t>25</t>
  </si>
  <si>
    <t>011200700200</t>
  </si>
  <si>
    <t>26</t>
  </si>
  <si>
    <t>011202100100</t>
  </si>
  <si>
    <t>27</t>
  </si>
  <si>
    <t>011202300100</t>
  </si>
  <si>
    <t>28</t>
  </si>
  <si>
    <t>012300100100</t>
  </si>
  <si>
    <t>29</t>
  </si>
  <si>
    <t>012300300100</t>
  </si>
  <si>
    <t>30</t>
  </si>
  <si>
    <t>012300400200</t>
  </si>
  <si>
    <t>31</t>
  </si>
  <si>
    <t>012301300100</t>
  </si>
  <si>
    <t>32</t>
  </si>
  <si>
    <t>012305600100</t>
  </si>
  <si>
    <t>33</t>
  </si>
  <si>
    <t>012400700100</t>
  </si>
  <si>
    <t>34</t>
  </si>
  <si>
    <t>012500100100</t>
  </si>
  <si>
    <t>35</t>
  </si>
  <si>
    <t>012500100300</t>
  </si>
  <si>
    <t>36</t>
  </si>
  <si>
    <t>012500600100</t>
  </si>
  <si>
    <t>37</t>
  </si>
  <si>
    <t>012500700100</t>
  </si>
  <si>
    <t>38</t>
  </si>
  <si>
    <t>012500700200</t>
  </si>
  <si>
    <t>39</t>
  </si>
  <si>
    <t>012500700300</t>
  </si>
  <si>
    <t>40</t>
  </si>
  <si>
    <t>012500800100</t>
  </si>
  <si>
    <t>41</t>
  </si>
  <si>
    <t>014000100100</t>
  </si>
  <si>
    <t>42</t>
  </si>
  <si>
    <t>43</t>
  </si>
  <si>
    <t>014700100100</t>
  </si>
  <si>
    <t>44</t>
  </si>
  <si>
    <t>014800100100</t>
  </si>
  <si>
    <t>45</t>
  </si>
  <si>
    <t>014800100200</t>
  </si>
  <si>
    <t>46</t>
  </si>
  <si>
    <t>47</t>
  </si>
  <si>
    <t>021502100100</t>
  </si>
  <si>
    <t>48</t>
  </si>
  <si>
    <t>021510200100</t>
  </si>
  <si>
    <t>49</t>
  </si>
  <si>
    <t>021510200200</t>
  </si>
  <si>
    <t>50</t>
  </si>
  <si>
    <t>51</t>
  </si>
  <si>
    <t>021511500100</t>
  </si>
  <si>
    <t>52</t>
  </si>
  <si>
    <t>53</t>
  </si>
  <si>
    <t>022000100100</t>
  </si>
  <si>
    <t>54</t>
  </si>
  <si>
    <t>022000100200</t>
  </si>
  <si>
    <t>55</t>
  </si>
  <si>
    <t>022000100400</t>
  </si>
  <si>
    <t>STATE FINANCE</t>
  </si>
  <si>
    <t>56</t>
  </si>
  <si>
    <t>022000200100</t>
  </si>
  <si>
    <t>57</t>
  </si>
  <si>
    <t>022000700100</t>
  </si>
  <si>
    <t>58</t>
  </si>
  <si>
    <t>022000800100</t>
  </si>
  <si>
    <t>59</t>
  </si>
  <si>
    <t>022200100100</t>
  </si>
  <si>
    <t>60</t>
  </si>
  <si>
    <t>022200900100</t>
  </si>
  <si>
    <t>61</t>
  </si>
  <si>
    <t>022205100100</t>
  </si>
  <si>
    <t>62</t>
  </si>
  <si>
    <t>022800700100</t>
  </si>
  <si>
    <t>63</t>
  </si>
  <si>
    <t>022800700200</t>
  </si>
  <si>
    <t>64</t>
  </si>
  <si>
    <t>022900100100</t>
  </si>
  <si>
    <t>65</t>
  </si>
  <si>
    <t>022905500100</t>
  </si>
  <si>
    <t>66</t>
  </si>
  <si>
    <t>023100300100</t>
  </si>
  <si>
    <t>67</t>
  </si>
  <si>
    <t>023305100100</t>
  </si>
  <si>
    <t>68</t>
  </si>
  <si>
    <t>023305100200</t>
  </si>
  <si>
    <t>69</t>
  </si>
  <si>
    <t>70</t>
  </si>
  <si>
    <t>023405600100</t>
  </si>
  <si>
    <t>71</t>
  </si>
  <si>
    <t>023600100100</t>
  </si>
  <si>
    <t>72</t>
  </si>
  <si>
    <t>023800100100</t>
  </si>
  <si>
    <t>73</t>
  </si>
  <si>
    <t>023800100200</t>
  </si>
  <si>
    <t>74</t>
  </si>
  <si>
    <t>023800100300</t>
  </si>
  <si>
    <t>MANPOWER DEVELOPMENT OFFICE</t>
  </si>
  <si>
    <t>75</t>
  </si>
  <si>
    <t>023800100500</t>
  </si>
  <si>
    <t>76</t>
  </si>
  <si>
    <t>023800100600</t>
  </si>
  <si>
    <t>MONITORING AND EVALUATION (MEMIS PROJECT) OFFICE</t>
  </si>
  <si>
    <t>77</t>
  </si>
  <si>
    <t>023800400100</t>
  </si>
  <si>
    <t>78</t>
  </si>
  <si>
    <t>025210200100</t>
  </si>
  <si>
    <t>79</t>
  </si>
  <si>
    <t>025210300100</t>
  </si>
  <si>
    <t>80</t>
  </si>
  <si>
    <t>025305300100</t>
  </si>
  <si>
    <t>81</t>
  </si>
  <si>
    <t>82</t>
  </si>
  <si>
    <t>026000100100</t>
  </si>
  <si>
    <t>83</t>
  </si>
  <si>
    <t>026100100100</t>
  </si>
  <si>
    <t>84</t>
  </si>
  <si>
    <t>026300100100</t>
  </si>
  <si>
    <t>85</t>
  </si>
  <si>
    <t>86</t>
  </si>
  <si>
    <t>031801100100</t>
  </si>
  <si>
    <t>87</t>
  </si>
  <si>
    <t>031801200100</t>
  </si>
  <si>
    <t>88</t>
  </si>
  <si>
    <t>031801300100</t>
  </si>
  <si>
    <t>89</t>
  </si>
  <si>
    <t>90</t>
  </si>
  <si>
    <t>032600200100</t>
  </si>
  <si>
    <t>91</t>
  </si>
  <si>
    <t>032600300100</t>
  </si>
  <si>
    <t>92</t>
  </si>
  <si>
    <t>93</t>
  </si>
  <si>
    <t>032605200200</t>
  </si>
  <si>
    <t>94</t>
  </si>
  <si>
    <t>032605200300</t>
  </si>
  <si>
    <t>95</t>
  </si>
  <si>
    <t>051300100100</t>
  </si>
  <si>
    <t>96</t>
  </si>
  <si>
    <t>051300100200</t>
  </si>
  <si>
    <t>97</t>
  </si>
  <si>
    <t>051400100100</t>
  </si>
  <si>
    <t>98</t>
  </si>
  <si>
    <t>051400100200</t>
  </si>
  <si>
    <t>99</t>
  </si>
  <si>
    <t>100</t>
  </si>
  <si>
    <t>051700100200</t>
  </si>
  <si>
    <t>101</t>
  </si>
  <si>
    <t>051700100300</t>
  </si>
  <si>
    <t>102</t>
  </si>
  <si>
    <t>051700300100</t>
  </si>
  <si>
    <t>103</t>
  </si>
  <si>
    <t>051700300200</t>
  </si>
  <si>
    <t>104</t>
  </si>
  <si>
    <t>051700300300</t>
  </si>
  <si>
    <t>105</t>
  </si>
  <si>
    <t>051700800100</t>
  </si>
  <si>
    <t>106</t>
  </si>
  <si>
    <t>051705400100</t>
  </si>
  <si>
    <t>107</t>
  </si>
  <si>
    <t>051705400200</t>
  </si>
  <si>
    <t>108</t>
  </si>
  <si>
    <t>051705400300</t>
  </si>
  <si>
    <t>109</t>
  </si>
  <si>
    <t>051705400400</t>
  </si>
  <si>
    <t>110</t>
  </si>
  <si>
    <t>051705400500</t>
  </si>
  <si>
    <t>111</t>
  </si>
  <si>
    <t>051705400600</t>
  </si>
  <si>
    <t>112</t>
  </si>
  <si>
    <t>051705400700</t>
  </si>
  <si>
    <t>113</t>
  </si>
  <si>
    <t>051705400800</t>
  </si>
  <si>
    <t>114</t>
  </si>
  <si>
    <t>051705400900</t>
  </si>
  <si>
    <t>115</t>
  </si>
  <si>
    <t>051705401000</t>
  </si>
  <si>
    <t>116</t>
  </si>
  <si>
    <t>051705600100</t>
  </si>
  <si>
    <t>117</t>
  </si>
  <si>
    <t>051800100100</t>
  </si>
  <si>
    <t>118</t>
  </si>
  <si>
    <t>119</t>
  </si>
  <si>
    <t>120</t>
  </si>
  <si>
    <t>052110200100</t>
  </si>
  <si>
    <t>121</t>
  </si>
  <si>
    <t>052110300100</t>
  </si>
  <si>
    <t>122</t>
  </si>
  <si>
    <t>052110600100</t>
  </si>
  <si>
    <t>123</t>
  </si>
  <si>
    <t>052111500100</t>
  </si>
  <si>
    <t>124</t>
  </si>
  <si>
    <t>052111600100</t>
  </si>
  <si>
    <t>125</t>
  </si>
  <si>
    <t>126</t>
  </si>
  <si>
    <t>053500100200</t>
  </si>
  <si>
    <t>NEW MAP PROJECT OFFICE</t>
  </si>
  <si>
    <t>127</t>
  </si>
  <si>
    <t>128</t>
  </si>
  <si>
    <t>129</t>
  </si>
  <si>
    <t>055100100100</t>
  </si>
  <si>
    <t>130</t>
  </si>
  <si>
    <t>055100100200</t>
  </si>
  <si>
    <t>131</t>
  </si>
  <si>
    <t>055200100200</t>
  </si>
  <si>
    <t>132</t>
  </si>
  <si>
    <t>055200200100</t>
  </si>
  <si>
    <t>133</t>
  </si>
  <si>
    <t>134</t>
  </si>
  <si>
    <t>135</t>
  </si>
  <si>
    <t>136</t>
  </si>
  <si>
    <t>FOURTH  SCHEDULE</t>
  </si>
  <si>
    <t>Capital Expenditure</t>
  </si>
  <si>
    <t>011100800100</t>
  </si>
  <si>
    <t>011101200100</t>
  </si>
  <si>
    <t>21</t>
  </si>
  <si>
    <t>012305500100</t>
  </si>
  <si>
    <t>023400400100</t>
  </si>
  <si>
    <t>051701800100</t>
  </si>
  <si>
    <t>051702100100</t>
  </si>
  <si>
    <t>051702100200</t>
  </si>
  <si>
    <t>051702100300</t>
  </si>
  <si>
    <t>xiv</t>
  </si>
  <si>
    <t>011105200100</t>
  </si>
  <si>
    <t>PUBLIC SERVICE REFORM AND DEVELOPMENT</t>
  </si>
  <si>
    <r>
      <rPr>
        <b/>
        <sz val="9"/>
        <color theme="1"/>
        <rFont val="Times New Roman"/>
        <family val="1"/>
      </rPr>
      <t>ADMIN CODE: 025200100100:</t>
    </r>
    <r>
      <rPr>
        <sz val="9"/>
        <color theme="1"/>
        <rFont val="Times New Roman"/>
        <family val="1"/>
      </rPr>
      <t xml:space="preserve"> MINISTRY OF WATER RESOURCES, PUBLIC SANITATION AND HYGIENE   </t>
    </r>
  </si>
  <si>
    <r>
      <t xml:space="preserve">ACCOUNTING OFFICER: </t>
    </r>
    <r>
      <rPr>
        <sz val="9"/>
        <rFont val="Times New Roman"/>
        <family val="1"/>
      </rPr>
      <t>PERMANENT SECRETARY, MINISTRY OF WATER RESOURCES, PUBLIC SANITATION AND HYGIENE</t>
    </r>
  </si>
  <si>
    <t xml:space="preserve">MINISTRY OF WATER RESOURCES, PUBLIC SANITATION AND HYGIENE </t>
  </si>
  <si>
    <t>GRANTS TO PARATATALS</t>
  </si>
  <si>
    <r>
      <t xml:space="preserve">ADMIN CODE: 053500100100: </t>
    </r>
    <r>
      <rPr>
        <sz val="9"/>
        <color theme="1"/>
        <rFont val="Times New Roman"/>
        <family val="1"/>
      </rPr>
      <t>MINISTRY OF ENVIRONMENT</t>
    </r>
  </si>
  <si>
    <r>
      <t xml:space="preserve">ACCOUNTING OFFICER:  </t>
    </r>
    <r>
      <rPr>
        <sz val="9"/>
        <rFont val="Times New Roman"/>
        <family val="1"/>
      </rPr>
      <t>PERMANENT SECRETARY, MINISTRY OF ENVIRONMENT</t>
    </r>
  </si>
  <si>
    <t>SPG- Environmental Related Days, World Environmental Day, National Sanitation Day, National Council on Environment, Emergency Rapid Response</t>
  </si>
  <si>
    <r>
      <t xml:space="preserve">ADMIN CODE: 051800100100: </t>
    </r>
    <r>
      <rPr>
        <sz val="9"/>
        <color theme="1"/>
        <rFont val="Times New Roman"/>
        <family val="1"/>
      </rPr>
      <t>BOARD OF ADULT, TECHNICAL AND VOCATIONAL EDUCATION</t>
    </r>
  </si>
  <si>
    <r>
      <t xml:space="preserve">ACCOUNTING OFFICER:  </t>
    </r>
    <r>
      <rPr>
        <sz val="9"/>
        <rFont val="Times New Roman"/>
        <family val="1"/>
      </rPr>
      <t>PERMANENT SECRETARY, BOARD OF ADULT, TECHNICAL AND VOCATIONAL EDUCATION</t>
    </r>
  </si>
  <si>
    <t>SPG- Publicity/Documentation</t>
  </si>
  <si>
    <t>SPG- Proficiency Exams in the 10 courses for Students at 24 SAC</t>
  </si>
  <si>
    <t>SPG- Procurement of Diesel, Petrol and Lubricant Distribution and Servicing</t>
  </si>
  <si>
    <t>SPG- Grants to Technical Colleges</t>
  </si>
  <si>
    <t>SPG- Student Final Exams NABTEB</t>
  </si>
  <si>
    <t>SPG- Monitoring and Inspection of Colleges (GTC/TECH DEPT) In school</t>
  </si>
  <si>
    <t>SPG- SAC Trainers and Supervisors</t>
  </si>
  <si>
    <t>SPG- Adult Literacy Facilitators</t>
  </si>
  <si>
    <t>SPG- Science Based C.E.C Stipend to Facilitators (10 Facilitators N10,000.00 Each @7 Centres for 12 Months)</t>
  </si>
  <si>
    <t>SPG- Approval Inspection and Regulation of private CEC For IGR</t>
  </si>
  <si>
    <t>SPG- Stipend to Teacher at The 7 PHS</t>
  </si>
  <si>
    <t>SPG- Provision of Training/Learning Materials/Dossier and Fist AID Kits at SAC Centres, GTCs and PHS</t>
  </si>
  <si>
    <t>SPG- Stipend to facilitators of Liberal Education Centers (GOVT.C.E.C) (N10,000.00 Per 15 Teachers/Facilitators,7 Centres for 12 Months)</t>
  </si>
  <si>
    <t>SPG- National Educational &amp; Professional Conferences and Meetings, NCE, JCC etc</t>
  </si>
  <si>
    <t>SPG- Management of SAC Products</t>
  </si>
  <si>
    <t>SPG- Graduation Ceremonies</t>
  </si>
  <si>
    <t xml:space="preserve">SPG- Mapping Exercise against Land Encroachment </t>
  </si>
  <si>
    <t>SPG- Payment of Stipend and Provision of Consumables, Training Materials for Functional Literacy</t>
  </si>
  <si>
    <t>SPG- Procurement of Books</t>
  </si>
  <si>
    <t>SPG- Maintenance of Adult Literacy Centre</t>
  </si>
  <si>
    <t>SPG-Consumables for Technical Venture and Production Unit</t>
  </si>
  <si>
    <t>SPG-International Literacy Day</t>
  </si>
  <si>
    <t>SPG- Inter PHS Science Competition</t>
  </si>
  <si>
    <r>
      <t xml:space="preserve">ACCOUNTING OFFICER:  </t>
    </r>
    <r>
      <rPr>
        <sz val="9"/>
        <rFont val="Times New Roman"/>
        <family val="1"/>
      </rPr>
      <t>SECRETARY, EMERGENCY MEDICAL SERVICES AGENCY</t>
    </r>
  </si>
  <si>
    <r>
      <t xml:space="preserve">ADMIN CODE: 052111500100: </t>
    </r>
    <r>
      <rPr>
        <sz val="9"/>
        <color theme="1"/>
        <rFont val="Times New Roman"/>
        <family val="1"/>
      </rPr>
      <t>EMERGENCY MEDICAL SERVICES AGENCY</t>
    </r>
  </si>
  <si>
    <r>
      <t xml:space="preserve">ACCOUNTING OFFICER: </t>
    </r>
    <r>
      <rPr>
        <sz val="9"/>
        <rFont val="Times New Roman"/>
        <family val="1"/>
      </rPr>
      <t>GENERAL MANAGER,  ONDO STATE FOOTBALL DEVELOPMENT AGENCY</t>
    </r>
  </si>
  <si>
    <t>SPG- Procurement of Special Consumables</t>
  </si>
  <si>
    <t>SPG- Prosecution of CAF championship (Sunshine Stars FC)</t>
  </si>
  <si>
    <t>SPG- Maintenance of Convoy Vehicles</t>
  </si>
  <si>
    <t>SPG- TRAINING VOTE FOR ODHA STAFF</t>
  </si>
  <si>
    <t>SPG- HOSTING &amp; PARTICIPATION OF SPEAKERS CONFERENCE</t>
  </si>
  <si>
    <t>SPG- PASSAGES &amp; FLIGHT FOR ODHA</t>
  </si>
  <si>
    <t>SPG- COMMON WEALTH PARLIAMENTARY CONFERENCE</t>
  </si>
  <si>
    <t>SPG- CLEARING OF ASSEMBLY PREMISES</t>
  </si>
  <si>
    <t>SPG- PUBLICITY OF THE ASSEMBLY</t>
  </si>
  <si>
    <t>SPG- PUBLIC HEARING ON BILLS AND SPECIAL COMMITTEE ASSIGNMENT</t>
  </si>
  <si>
    <t>SPG- LEGISL. STUDY TOURS &amp; EXCHANGE PROGRAMME FOR HON MEMBERS &amp; CORE LEGISL. STAFF</t>
  </si>
  <si>
    <t>SPG- Procurement of Consumables for the Legislative Paper Office and Maintenance of the Hallowed Chamber</t>
  </si>
  <si>
    <t>SPG- PAYMENT OF INSURANCE PREMIUM</t>
  </si>
  <si>
    <t>SPG- PEACE &amp; PROSPERITY IN THE STATE</t>
  </si>
  <si>
    <t>SPG- PROCUREMENT OF CONSUMABLES FOR OPERATIONAL EFFICIENCY IN ADMIN, LEGAL, PUBLICATION AND PLANNING DEPARTMENTS</t>
  </si>
  <si>
    <t>SPG- MAINTENANCE OF TELEPHONE &amp; INTERCOM &amp; E-LEGISLATIVE SERVICES</t>
  </si>
  <si>
    <t>SPG- ADDITIONAL PROVISION ON FURNITURE &amp; EQUIPMENT FOR STAFF</t>
  </si>
  <si>
    <t>SPG- INTIATIVE FOR THE ADVANCENENT OF DEMOCRATIC VALUES</t>
  </si>
  <si>
    <t>SPG- CAPACITY BUILDING FOR HON. MEMBERS</t>
  </si>
  <si>
    <t>SPG- END OF YEAR PACKAGE FOR HON MEMBERS &amp; ODHA STAFF</t>
  </si>
  <si>
    <t>SPG- BUDGET APPROPRIATION AND ALLIED MATTERS</t>
  </si>
  <si>
    <t>SPG- LEGISLATIVE ADVOCACY RESEARCH FOR BETTER LEGISLATIVE CONTENT</t>
  </si>
  <si>
    <t>SPG- PROCUREMENT OF CONSUMABLES FOR OPERATIONAL EFFICIENCY IN INDIGENEOUS LANGUAGE (YORUBA &amp; IJAW)</t>
  </si>
  <si>
    <t>SPG- PRODUCTION OF COMPENDIUM OF LAWS</t>
  </si>
  <si>
    <t>SPG- PRODUCTION OF COMPENDIUM OF RESOLUTIONS</t>
  </si>
  <si>
    <t>SPG- Ondo State Public Sector Governance Reforms and Development Project and Public Accounts Committee Matters Affecting</t>
  </si>
  <si>
    <t>SPG- Sensitization on Child Abuse and Other social Ills</t>
  </si>
  <si>
    <t>SPG- REHABILITATION OF ARCADE MACE</t>
  </si>
  <si>
    <t>SPG- Annual Parliamentary Games</t>
  </si>
  <si>
    <t>SPG- Legislative-Budget Office Related Matters</t>
  </si>
  <si>
    <t>SPG- Procurement of Customised Robe, Uniform for Sergeant at Arm, Mace bearer and Legislative Attendants</t>
  </si>
  <si>
    <t>SPG- Preparation of Bill of Quantities, Monitoring and Supervision of Projects</t>
  </si>
  <si>
    <t>SPG- Maintenance Allowance for Speaker and Deputy Speaker</t>
  </si>
  <si>
    <t>SPG- Provision of Security Services at Assembly Complex</t>
  </si>
  <si>
    <t>SPG- Mobilization/Sensitization of Constituents on Important State/National Matters/Constituency Engagement</t>
  </si>
  <si>
    <t>SPG- Ondo State House of Assembly - Protocol</t>
  </si>
  <si>
    <t>SPG- Training on Legislative Matters and Participation at National Institute for Legislative Studies (NILS)</t>
  </si>
  <si>
    <t>SPG- Parliamentary Staff Association National Executive Council Meeting</t>
  </si>
  <si>
    <t>SPG- Dewey Decimal Classification Scheme/Binding on Acquired Newspapers</t>
  </si>
  <si>
    <t>SPG- Office of the SSAs on Legislative Matters</t>
  </si>
  <si>
    <t>SPG- Induction/Inauguration/Swearing-in Programme</t>
  </si>
  <si>
    <t>SPG- Domestic Passages</t>
  </si>
  <si>
    <r>
      <t xml:space="preserve">ACCOUNTING OFFICER:  </t>
    </r>
    <r>
      <rPr>
        <sz val="9"/>
        <rFont val="Times New Roman"/>
        <family val="1"/>
      </rPr>
      <t>PERMANENT SECRETARY, MINISTRY OF ECONOMIC PLANNING AND BUDGET</t>
    </r>
  </si>
  <si>
    <r>
      <t xml:space="preserve">ADMIN CODE: 023800100100: </t>
    </r>
    <r>
      <rPr>
        <sz val="9"/>
        <color theme="1"/>
        <rFont val="Times New Roman"/>
        <family val="1"/>
      </rPr>
      <t>MINISTRY OF ECONOMIC PLANNING AND BUDGET</t>
    </r>
  </si>
  <si>
    <t>SPG- Project Monitoring, Impact Assessment and other Ancillary Activities</t>
  </si>
  <si>
    <t>SPG- State Economic Committee-Matters Affecting</t>
  </si>
  <si>
    <t xml:space="preserve">SPG- Collaboration with Development Partners </t>
  </si>
  <si>
    <t>SPG- Conduct of Baseline Studies, Policy and Impact Assessment of Projects</t>
  </si>
  <si>
    <t>SPG- Standing Committee on Revenue</t>
  </si>
  <si>
    <t>SPG- Maintenance/Clearing of Premises</t>
  </si>
  <si>
    <t>SPG- Budget preparation and Allied Matters</t>
  </si>
  <si>
    <t>SPG- Strengthening of Planning Department (Establishment of State Planning Commission)</t>
  </si>
  <si>
    <t>SPG- Ondo State Manpower Committee</t>
  </si>
  <si>
    <t>SPG- Printing and Publication of Books of Estimates, Budget Speech, Supplementary Estimates, etc.</t>
  </si>
  <si>
    <t>SPG- National, State Planning and Economic Councils</t>
  </si>
  <si>
    <t>SPG- Budget Review, Monitoring and Appraisal</t>
  </si>
  <si>
    <t>SPG- State Food and Nutrition Committee</t>
  </si>
  <si>
    <t>SPG- Ondo State Social Protection Committee/Social Protection Programme</t>
  </si>
  <si>
    <t>SPG- Strategic Initiatives for Rapid Economic Development of Ondo State</t>
  </si>
  <si>
    <t>SPG- State Development and Allied Matters</t>
  </si>
  <si>
    <t>SPG- Economic Intelligence Unit</t>
  </si>
  <si>
    <r>
      <rPr>
        <b/>
        <sz val="9"/>
        <color theme="1"/>
        <rFont val="Times New Roman"/>
        <family val="1"/>
      </rPr>
      <t>ADMIN CODE: 051300100200:</t>
    </r>
    <r>
      <rPr>
        <sz val="9"/>
        <color theme="1"/>
        <rFont val="Times New Roman"/>
        <family val="1"/>
      </rPr>
      <t xml:space="preserve"> ONDO STATE FOOTBALL DEVELOPMENT AGENCY  </t>
    </r>
  </si>
  <si>
    <t>TOTAL: MINISTRY OF FINANCE</t>
  </si>
  <si>
    <t>Construction and Installation of Burglary Proof in Sensitive Offices of the Ministry</t>
  </si>
  <si>
    <t>02130001340306</t>
  </si>
  <si>
    <t>BANK</t>
  </si>
  <si>
    <t>2018 PRINCIPAL AMOUNT (N)</t>
  </si>
  <si>
    <t>2019 PRINCIPAL AMOUNT (N)</t>
  </si>
  <si>
    <t>CBN</t>
  </si>
  <si>
    <t>Access Bank</t>
  </si>
  <si>
    <t>Capital Market</t>
  </si>
  <si>
    <t xml:space="preserve"> 2018 Vehicle Lease</t>
  </si>
  <si>
    <t>Sterling Bank</t>
  </si>
  <si>
    <t>Unity Bank</t>
  </si>
  <si>
    <t>OSAEC</t>
  </si>
  <si>
    <t>First Bank</t>
  </si>
  <si>
    <t>CGS</t>
  </si>
  <si>
    <t>WEMA Bank</t>
  </si>
  <si>
    <t>RAMP</t>
  </si>
  <si>
    <t>Skye Bank</t>
  </si>
  <si>
    <t>ONDIPA</t>
  </si>
  <si>
    <t>WATER COOPORATION</t>
  </si>
  <si>
    <t>DEBT SERVICE PRINCIPAL</t>
  </si>
  <si>
    <t>PAYMENT OF SHARE OF STATE IGR TO LOCAL GOVERNMENTS (10% IGR)</t>
  </si>
  <si>
    <t>Approved Estimates 2018           (N)</t>
  </si>
  <si>
    <t>Estimates 2019 (N)</t>
  </si>
  <si>
    <t>TOTAL: ONDO STATE UNIVERSITY OF MEDICAL SCIENCES TEACHING HOSPITAL</t>
  </si>
  <si>
    <t>02040004450201</t>
  </si>
  <si>
    <t>Construction of New Hospital Complexes at SSHA and SSHO to create Specialist Clinic, General Outpatient Clinic, Accident and Emergency Department, Emergency Theater and Office Spaces</t>
  </si>
  <si>
    <t>TOTAL: DEPUTY GOVERNOR'S OFFICE</t>
  </si>
  <si>
    <t>Contingency/ Additional</t>
  </si>
  <si>
    <t xml:space="preserve"> </t>
  </si>
  <si>
    <r>
      <t xml:space="preserve">ACCOUNTING OFFICER: </t>
    </r>
    <r>
      <rPr>
        <sz val="9"/>
        <rFont val="Times New Roman"/>
        <family val="1"/>
      </rPr>
      <t>CLERK, STATE HOUSE OF ASSEMBLY</t>
    </r>
  </si>
  <si>
    <t xml:space="preserve">AMOUNT SPENT TILL DATE M'N       </t>
  </si>
  <si>
    <t>Total Recurrent Expenditure Allocation (Re-allocation)</t>
  </si>
  <si>
    <t>Total Capital Allocation (Re-allocation)</t>
  </si>
  <si>
    <r>
      <t xml:space="preserve">ADMIN CODE: 011200300100: </t>
    </r>
    <r>
      <rPr>
        <sz val="9"/>
        <color theme="1"/>
        <rFont val="Times New Roman"/>
        <family val="1"/>
      </rPr>
      <t>STATE HOUSE OF ASSEMBLY</t>
    </r>
  </si>
  <si>
    <t>House of Assembly</t>
  </si>
  <si>
    <t>Ministry of Economic Planning and Budget</t>
  </si>
  <si>
    <t>Ondo State Football Development Agency</t>
  </si>
  <si>
    <t>Board of Adult, Technical and Vocational Education</t>
  </si>
  <si>
    <t>Emergency Medical Services Agency</t>
  </si>
  <si>
    <t>Grants to Parastatals (UNIMEDTH)</t>
  </si>
  <si>
    <r>
      <t>SPECIAL PROGRAMME FUNDS (</t>
    </r>
    <r>
      <rPr>
        <b/>
        <strike/>
        <sz val="8"/>
        <color theme="1"/>
        <rFont val="Times New Roman"/>
        <family val="1"/>
      </rPr>
      <t>N</t>
    </r>
    <r>
      <rPr>
        <b/>
        <sz val="8"/>
        <color theme="1"/>
        <rFont val="Times New Roman"/>
        <family val="1"/>
      </rPr>
      <t>)</t>
    </r>
  </si>
  <si>
    <r>
      <t>OVERHEADS (</t>
    </r>
    <r>
      <rPr>
        <b/>
        <strike/>
        <sz val="8"/>
        <color theme="1"/>
        <rFont val="Times New Roman"/>
        <family val="1"/>
      </rPr>
      <t>N</t>
    </r>
    <r>
      <rPr>
        <b/>
        <sz val="8"/>
        <color theme="1"/>
        <rFont val="Times New Roman"/>
        <family val="1"/>
      </rPr>
      <t>)</t>
    </r>
  </si>
  <si>
    <t>Transfer to Recurrent</t>
  </si>
  <si>
    <t>Total Pooled Funds (Recurrent)</t>
  </si>
  <si>
    <t>TOTAL: ONDO STATE RADIOVISION CORPORATION</t>
  </si>
  <si>
    <t>Ondo State Radiovision Corporation</t>
  </si>
  <si>
    <t>Supply, Installation and Commissioning of New 5KW Television Transmitter/Repeater for OSRC Okitipupa Television Booster Station</t>
  </si>
  <si>
    <t>04110001280335</t>
  </si>
  <si>
    <t>iii</t>
  </si>
  <si>
    <t>TOTAL: SERVICE MATTERS DEPARTMENT</t>
  </si>
  <si>
    <t>Total Allocation of Fund (Recurrent and Capital)</t>
  </si>
  <si>
    <t>Total Pooled Fund (Recurrent and Capital)</t>
  </si>
  <si>
    <t>C: TOTAL</t>
  </si>
  <si>
    <t>SUMMARY OF POOLED AND ALLOCATION OF FUNDS</t>
  </si>
  <si>
    <t>OVERALL SUMMARY OF APPROVED RE-ORDERED BUDGET 2019</t>
  </si>
  <si>
    <t>YEAR 2019 APPROVED RE-ORDERED RECURRENT ESTIMATES</t>
  </si>
  <si>
    <r>
      <t xml:space="preserve">                       </t>
    </r>
    <r>
      <rPr>
        <b/>
        <sz val="13"/>
        <color theme="1"/>
        <rFont val="Times New Roman"/>
        <family val="1"/>
      </rPr>
      <t>YEAR 2019 APPROVED RE-ORDERED CAPITAL ESTIMATES</t>
    </r>
  </si>
  <si>
    <r>
      <t xml:space="preserve">                                                     </t>
    </r>
    <r>
      <rPr>
        <b/>
        <sz val="13"/>
        <color theme="1"/>
        <rFont val="Times New Roman"/>
        <family val="1"/>
      </rPr>
      <t>ONDO STATE OF NIGERIA</t>
    </r>
  </si>
  <si>
    <t xml:space="preserve">                                 SUMMARY OF ALLOCATION OF POOLED FUND</t>
  </si>
  <si>
    <t>YEAR 2019 APPROVED RE-ORDERED BUDGET</t>
  </si>
  <si>
    <t>APPROVED 2019 RE-ORDER</t>
  </si>
  <si>
    <t>APPROVED 2019 RE-ORDERED</t>
  </si>
  <si>
    <t>APPROVED PERSONNEL RE-ORDERED ESTIMATES, 2019</t>
  </si>
  <si>
    <t>Approved 2019      Re-order</t>
  </si>
  <si>
    <t>APPROVED RE-ORDER EXPENDITURE</t>
  </si>
  <si>
    <t>APPROVED 2019                 RE-ORDER</t>
  </si>
  <si>
    <t>APPROVED 2019 RE-ORDER M'N</t>
  </si>
  <si>
    <t>YEAR 2019 APPROVED RE-ORDERED CAPITAL ESTIMATES</t>
  </si>
  <si>
    <t>APPROVED RE-ORDERED CAPITAL ESTIMATES,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</si>
</sst>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;[Red]0"/>
    <numFmt numFmtId="165" formatCode="0.000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trike/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ahoma"/>
      <family val="2"/>
    </font>
    <font>
      <b/>
      <sz val="6"/>
      <color theme="1"/>
      <name val="Times New Roman"/>
      <family val="1"/>
    </font>
    <font>
      <sz val="7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b/>
      <sz val="8"/>
      <name val="Times New Roman"/>
      <family val="1"/>
    </font>
    <font>
      <sz val="8.5"/>
      <color theme="1"/>
      <name val="Times New Roman"/>
      <family val="1"/>
    </font>
    <font>
      <b/>
      <sz val="8.5"/>
      <color theme="1"/>
      <name val="Times New Roman"/>
      <family val="1"/>
    </font>
    <font>
      <sz val="8.5"/>
      <color rgb="FFFF0000"/>
      <name val="Times New Roman"/>
      <family val="1"/>
    </font>
    <font>
      <sz val="9"/>
      <color rgb="FFFF0000"/>
      <name val="Times New Roman"/>
      <family val="1"/>
    </font>
    <font>
      <b/>
      <sz val="5"/>
      <color theme="1"/>
      <name val="Times New Roman"/>
      <family val="1"/>
    </font>
    <font>
      <sz val="6"/>
      <name val="Times New Roman"/>
      <family val="1"/>
    </font>
    <font>
      <sz val="9"/>
      <color rgb="FF000000"/>
      <name val="Times New Roman"/>
      <family val="1"/>
    </font>
    <font>
      <b/>
      <sz val="5.5"/>
      <color theme="1"/>
      <name val="Times New Roman"/>
      <family val="1"/>
    </font>
    <font>
      <sz val="6.8"/>
      <color theme="1"/>
      <name val="Times New Roman"/>
      <family val="1"/>
    </font>
    <font>
      <sz val="10"/>
      <color rgb="FFFF0000"/>
      <name val="Times New Roman"/>
      <family val="1"/>
    </font>
    <font>
      <sz val="8.5"/>
      <name val="Times New Roman"/>
      <family val="1"/>
    </font>
    <font>
      <b/>
      <sz val="10"/>
      <color rgb="FFFF0000"/>
      <name val="Times New Roman"/>
      <family val="1"/>
    </font>
    <font>
      <sz val="10"/>
      <color rgb="FF00B050"/>
      <name val="Times New Roman"/>
      <family val="1"/>
    </font>
    <font>
      <b/>
      <sz val="10"/>
      <color rgb="FF00B050"/>
      <name val="Times New Roman"/>
      <family val="1"/>
    </font>
    <font>
      <sz val="11"/>
      <color rgb="FF00B050"/>
      <name val="Calibri"/>
      <family val="2"/>
      <scheme val="minor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trike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C00000"/>
      <name val="Times New Roman"/>
      <family val="1"/>
    </font>
    <font>
      <sz val="7"/>
      <color rgb="FFC00000"/>
      <name val="Times New Roman"/>
      <family val="1"/>
    </font>
    <font>
      <sz val="8"/>
      <color rgb="FFC00000"/>
      <name val="Times New Roman"/>
      <family val="1"/>
    </font>
    <font>
      <sz val="9"/>
      <color rgb="FFC00000"/>
      <name val="Times New Roman"/>
      <family val="1"/>
    </font>
    <font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1E1E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43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0" applyNumberFormat="1"/>
    <xf numFmtId="43" fontId="0" fillId="0" borderId="0" xfId="1" applyFont="1"/>
    <xf numFmtId="43" fontId="6" fillId="0" borderId="0" xfId="1" applyFont="1" applyBorder="1" applyAlignment="1">
      <alignment horizontal="center" vertical="top"/>
    </xf>
    <xf numFmtId="0" fontId="0" fillId="0" borderId="0" xfId="0" applyBorder="1"/>
    <xf numFmtId="43" fontId="0" fillId="0" borderId="0" xfId="0" applyNumberFormat="1" applyBorder="1"/>
    <xf numFmtId="164" fontId="7" fillId="0" borderId="0" xfId="0" applyNumberFormat="1" applyFont="1" applyBorder="1"/>
    <xf numFmtId="4" fontId="7" fillId="0" borderId="0" xfId="0" applyNumberFormat="1" applyFont="1" applyBorder="1"/>
    <xf numFmtId="164" fontId="0" fillId="0" borderId="0" xfId="0" applyNumberFormat="1"/>
    <xf numFmtId="4" fontId="0" fillId="0" borderId="0" xfId="0" applyNumberFormat="1"/>
    <xf numFmtId="4" fontId="7" fillId="0" borderId="0" xfId="0" applyNumberFormat="1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7" fillId="0" borderId="0" xfId="1" applyFont="1" applyBorder="1" applyAlignment="1">
      <alignment horizontal="left"/>
    </xf>
    <xf numFmtId="164" fontId="7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8" fillId="0" borderId="0" xfId="1" applyFont="1" applyBorder="1"/>
    <xf numFmtId="4" fontId="0" fillId="0" borderId="0" xfId="0" applyNumberFormat="1" applyBorder="1" applyAlignment="1">
      <alignment vertical="center"/>
    </xf>
    <xf numFmtId="43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 applyBorder="1"/>
    <xf numFmtId="43" fontId="10" fillId="0" borderId="1" xfId="1" applyFont="1" applyBorder="1"/>
    <xf numFmtId="0" fontId="13" fillId="2" borderId="1" xfId="0" applyFont="1" applyFill="1" applyBorder="1" applyAlignment="1">
      <alignment horizontal="center" vertical="center" wrapText="1"/>
    </xf>
    <xf numFmtId="43" fontId="15" fillId="0" borderId="1" xfId="1" applyFont="1" applyBorder="1"/>
    <xf numFmtId="0" fontId="0" fillId="0" borderId="6" xfId="0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43" fontId="12" fillId="0" borderId="0" xfId="1" applyFont="1" applyBorder="1"/>
    <xf numFmtId="0" fontId="0" fillId="0" borderId="0" xfId="0" applyAlignment="1">
      <alignment wrapText="1"/>
    </xf>
    <xf numFmtId="49" fontId="5" fillId="0" borderId="0" xfId="0" applyNumberFormat="1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1" fillId="0" borderId="0" xfId="0" applyFont="1" applyBorder="1"/>
    <xf numFmtId="0" fontId="20" fillId="0" borderId="1" xfId="0" applyFont="1" applyBorder="1"/>
    <xf numFmtId="0" fontId="13" fillId="2" borderId="1" xfId="0" applyFont="1" applyFill="1" applyBorder="1" applyAlignment="1">
      <alignment horizontal="center" wrapText="1"/>
    </xf>
    <xf numFmtId="43" fontId="13" fillId="0" borderId="1" xfId="1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43" fontId="13" fillId="0" borderId="1" xfId="1" applyFont="1" applyBorder="1"/>
    <xf numFmtId="43" fontId="14" fillId="3" borderId="1" xfId="1" applyFont="1" applyFill="1" applyBorder="1" applyAlignment="1">
      <alignment horizontal="center" wrapText="1"/>
    </xf>
    <xf numFmtId="43" fontId="5" fillId="0" borderId="0" xfId="0" applyNumberFormat="1" applyFont="1" applyBorder="1"/>
    <xf numFmtId="0" fontId="20" fillId="0" borderId="0" xfId="0" applyFont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4" fillId="0" borderId="1" xfId="0" applyFont="1" applyBorder="1"/>
    <xf numFmtId="0" fontId="14" fillId="2" borderId="1" xfId="0" applyFont="1" applyFill="1" applyBorder="1" applyAlignment="1">
      <alignment wrapText="1"/>
    </xf>
    <xf numFmtId="4" fontId="14" fillId="2" borderId="1" xfId="0" applyNumberFormat="1" applyFont="1" applyFill="1" applyBorder="1" applyAlignment="1">
      <alignment horizontal="right" wrapText="1"/>
    </xf>
    <xf numFmtId="4" fontId="13" fillId="2" borderId="1" xfId="0" applyNumberFormat="1" applyFont="1" applyFill="1" applyBorder="1" applyAlignment="1">
      <alignment horizontal="right" wrapText="1"/>
    </xf>
    <xf numFmtId="43" fontId="14" fillId="0" borderId="1" xfId="1" applyFont="1" applyBorder="1"/>
    <xf numFmtId="0" fontId="20" fillId="0" borderId="0" xfId="0" applyFont="1" applyBorder="1" applyAlignment="1">
      <alignment horizontal="center"/>
    </xf>
    <xf numFmtId="0" fontId="13" fillId="0" borderId="0" xfId="0" applyFont="1"/>
    <xf numFmtId="0" fontId="20" fillId="0" borderId="0" xfId="0" applyFont="1" applyBorder="1" applyAlignment="1"/>
    <xf numFmtId="0" fontId="25" fillId="0" borderId="0" xfId="2" applyFont="1"/>
    <xf numFmtId="0" fontId="20" fillId="0" borderId="5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right"/>
    </xf>
    <xf numFmtId="0" fontId="23" fillId="0" borderId="0" xfId="0" applyFont="1"/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0" fillId="0" borderId="0" xfId="0" applyFont="1"/>
    <xf numFmtId="4" fontId="20" fillId="0" borderId="1" xfId="0" applyNumberFormat="1" applyFont="1" applyBorder="1"/>
    <xf numFmtId="0" fontId="18" fillId="4" borderId="1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center"/>
    </xf>
    <xf numFmtId="49" fontId="28" fillId="0" borderId="5" xfId="0" applyNumberFormat="1" applyFont="1" applyBorder="1" applyAlignment="1">
      <alignment horizontal="center" wrapText="1"/>
    </xf>
    <xf numFmtId="49" fontId="28" fillId="0" borderId="5" xfId="0" applyNumberFormat="1" applyFont="1" applyBorder="1" applyAlignment="1">
      <alignment horizontal="center"/>
    </xf>
    <xf numFmtId="49" fontId="22" fillId="0" borderId="1" xfId="0" applyNumberFormat="1" applyFont="1" applyBorder="1"/>
    <xf numFmtId="43" fontId="13" fillId="0" borderId="5" xfId="0" applyNumberFormat="1" applyFont="1" applyBorder="1"/>
    <xf numFmtId="49" fontId="22" fillId="0" borderId="11" xfId="0" applyNumberFormat="1" applyFont="1" applyBorder="1" applyAlignment="1">
      <alignment horizontal="right"/>
    </xf>
    <xf numFmtId="49" fontId="22" fillId="0" borderId="4" xfId="0" applyNumberFormat="1" applyFont="1" applyBorder="1"/>
    <xf numFmtId="43" fontId="25" fillId="0" borderId="4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0" xfId="0" applyFont="1" applyAlignment="1">
      <alignment wrapText="1"/>
    </xf>
    <xf numFmtId="0" fontId="21" fillId="0" borderId="4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9" fillId="0" borderId="0" xfId="0" applyFont="1"/>
    <xf numFmtId="0" fontId="30" fillId="0" borderId="0" xfId="0" applyFont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164" fontId="17" fillId="0" borderId="0" xfId="0" applyNumberFormat="1" applyFont="1" applyBorder="1"/>
    <xf numFmtId="4" fontId="17" fillId="0" borderId="0" xfId="0" applyNumberFormat="1" applyFont="1" applyBorder="1"/>
    <xf numFmtId="164" fontId="17" fillId="0" borderId="7" xfId="0" applyNumberFormat="1" applyFont="1" applyBorder="1" applyAlignment="1">
      <alignment vertical="center"/>
    </xf>
    <xf numFmtId="4" fontId="17" fillId="0" borderId="8" xfId="0" applyNumberFormat="1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/>
    </xf>
    <xf numFmtId="164" fontId="23" fillId="0" borderId="6" xfId="0" applyNumberFormat="1" applyFont="1" applyBorder="1" applyAlignment="1">
      <alignment vertical="center"/>
    </xf>
    <xf numFmtId="4" fontId="24" fillId="0" borderId="6" xfId="0" applyNumberFormat="1" applyFont="1" applyBorder="1" applyAlignment="1">
      <alignment vertical="center"/>
    </xf>
    <xf numFmtId="43" fontId="24" fillId="0" borderId="6" xfId="1" applyFont="1" applyBorder="1"/>
    <xf numFmtId="164" fontId="23" fillId="0" borderId="1" xfId="0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3" fontId="23" fillId="0" borderId="1" xfId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164" fontId="23" fillId="0" borderId="0" xfId="0" applyNumberFormat="1" applyFont="1"/>
    <xf numFmtId="4" fontId="23" fillId="0" borderId="0" xfId="0" applyNumberFormat="1" applyFont="1"/>
    <xf numFmtId="43" fontId="17" fillId="0" borderId="1" xfId="1" applyFont="1" applyBorder="1" applyAlignment="1">
      <alignment vertical="center"/>
    </xf>
    <xf numFmtId="0" fontId="28" fillId="0" borderId="5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3" fontId="11" fillId="0" borderId="1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9" xfId="0" applyFont="1" applyBorder="1"/>
    <xf numFmtId="0" fontId="22" fillId="0" borderId="1" xfId="0" applyFont="1" applyBorder="1"/>
    <xf numFmtId="0" fontId="22" fillId="0" borderId="5" xfId="0" applyFont="1" applyBorder="1"/>
    <xf numFmtId="0" fontId="5" fillId="0" borderId="6" xfId="0" applyFont="1" applyBorder="1"/>
    <xf numFmtId="49" fontId="13" fillId="0" borderId="2" xfId="0" applyNumberFormat="1" applyFont="1" applyBorder="1" applyAlignment="1">
      <alignment wrapText="1"/>
    </xf>
    <xf numFmtId="0" fontId="23" fillId="0" borderId="3" xfId="0" applyFont="1" applyBorder="1"/>
    <xf numFmtId="0" fontId="20" fillId="0" borderId="6" xfId="0" applyFont="1" applyBorder="1" applyAlignment="1">
      <alignment horizontal="right" wrapText="1"/>
    </xf>
    <xf numFmtId="0" fontId="34" fillId="2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wrapText="1"/>
    </xf>
    <xf numFmtId="0" fontId="21" fillId="0" borderId="1" xfId="0" applyFont="1" applyBorder="1"/>
    <xf numFmtId="0" fontId="5" fillId="0" borderId="5" xfId="0" applyFont="1" applyBorder="1"/>
    <xf numFmtId="0" fontId="18" fillId="0" borderId="14" xfId="0" applyFont="1" applyBorder="1" applyAlignment="1">
      <alignment horizontal="right"/>
    </xf>
    <xf numFmtId="0" fontId="23" fillId="0" borderId="1" xfId="0" applyFont="1" applyBorder="1" applyAlignment="1">
      <alignment horizontal="center" wrapText="1"/>
    </xf>
    <xf numFmtId="0" fontId="32" fillId="0" borderId="1" xfId="0" applyFont="1" applyBorder="1"/>
    <xf numFmtId="43" fontId="13" fillId="0" borderId="1" xfId="0" applyNumberFormat="1" applyFont="1" applyBorder="1"/>
    <xf numFmtId="0" fontId="22" fillId="0" borderId="4" xfId="0" applyFont="1" applyBorder="1"/>
    <xf numFmtId="0" fontId="22" fillId="0" borderId="11" xfId="0" applyFont="1" applyBorder="1"/>
    <xf numFmtId="1" fontId="14" fillId="2" borderId="1" xfId="0" applyNumberFormat="1" applyFont="1" applyFill="1" applyBorder="1" applyAlignment="1">
      <alignment horizontal="center" wrapText="1"/>
    </xf>
    <xf numFmtId="0" fontId="32" fillId="0" borderId="5" xfId="0" applyFont="1" applyBorder="1"/>
    <xf numFmtId="49" fontId="22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/>
    </xf>
    <xf numFmtId="0" fontId="21" fillId="0" borderId="5" xfId="0" applyFont="1" applyBorder="1" applyAlignment="1">
      <alignment wrapText="1"/>
    </xf>
    <xf numFmtId="0" fontId="22" fillId="0" borderId="6" xfId="0" applyFont="1" applyBorder="1"/>
    <xf numFmtId="0" fontId="23" fillId="0" borderId="6" xfId="0" applyFont="1" applyBorder="1" applyAlignment="1">
      <alignment wrapText="1"/>
    </xf>
    <xf numFmtId="0" fontId="32" fillId="0" borderId="6" xfId="0" applyFont="1" applyBorder="1"/>
    <xf numFmtId="1" fontId="13" fillId="0" borderId="6" xfId="0" applyNumberFormat="1" applyFont="1" applyBorder="1" applyAlignment="1">
      <alignment horizontal="right"/>
    </xf>
    <xf numFmtId="43" fontId="13" fillId="0" borderId="6" xfId="0" applyNumberFormat="1" applyFont="1" applyBorder="1"/>
    <xf numFmtId="0" fontId="23" fillId="0" borderId="4" xfId="0" applyFont="1" applyBorder="1" applyAlignment="1">
      <alignment wrapText="1"/>
    </xf>
    <xf numFmtId="0" fontId="32" fillId="0" borderId="4" xfId="0" applyFont="1" applyBorder="1"/>
    <xf numFmtId="1" fontId="13" fillId="0" borderId="4" xfId="0" applyNumberFormat="1" applyFont="1" applyBorder="1" applyAlignment="1">
      <alignment horizontal="right"/>
    </xf>
    <xf numFmtId="0" fontId="21" fillId="0" borderId="6" xfId="0" applyFont="1" applyBorder="1" applyAlignment="1">
      <alignment wrapText="1"/>
    </xf>
    <xf numFmtId="0" fontId="18" fillId="3" borderId="2" xfId="0" applyFont="1" applyFill="1" applyBorder="1" applyAlignment="1">
      <alignment horizontal="center" wrapText="1"/>
    </xf>
    <xf numFmtId="49" fontId="23" fillId="0" borderId="2" xfId="0" applyNumberFormat="1" applyFont="1" applyBorder="1" applyAlignment="1">
      <alignment horizontal="center"/>
    </xf>
    <xf numFmtId="43" fontId="16" fillId="0" borderId="2" xfId="0" applyNumberFormat="1" applyFont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43" fontId="20" fillId="0" borderId="12" xfId="0" applyNumberFormat="1" applyFont="1" applyBorder="1"/>
    <xf numFmtId="43" fontId="16" fillId="0" borderId="15" xfId="0" applyNumberFormat="1" applyFont="1" applyBorder="1" applyAlignment="1">
      <alignment horizontal="center"/>
    </xf>
    <xf numFmtId="43" fontId="25" fillId="0" borderId="12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4" fontId="35" fillId="0" borderId="1" xfId="0" applyNumberFormat="1" applyFont="1" applyBorder="1" applyAlignment="1">
      <alignment horizontal="right"/>
    </xf>
    <xf numFmtId="4" fontId="21" fillId="0" borderId="1" xfId="0" applyNumberFormat="1" applyFont="1" applyBorder="1"/>
    <xf numFmtId="43" fontId="14" fillId="2" borderId="1" xfId="1" applyFont="1" applyFill="1" applyBorder="1" applyAlignment="1">
      <alignment horizontal="right" wrapText="1"/>
    </xf>
    <xf numFmtId="43" fontId="11" fillId="0" borderId="1" xfId="0" applyNumberFormat="1" applyFont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4" fontId="14" fillId="2" borderId="0" xfId="0" applyNumberFormat="1" applyFont="1" applyFill="1" applyBorder="1" applyAlignment="1">
      <alignment horizontal="right" wrapText="1"/>
    </xf>
    <xf numFmtId="43" fontId="15" fillId="0" borderId="0" xfId="1" applyFont="1" applyBorder="1"/>
    <xf numFmtId="0" fontId="21" fillId="4" borderId="1" xfId="0" applyFont="1" applyFill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43" fontId="13" fillId="0" borderId="5" xfId="0" applyNumberFormat="1" applyFont="1" applyBorder="1" applyAlignment="1">
      <alignment horizontal="center"/>
    </xf>
    <xf numFmtId="0" fontId="23" fillId="0" borderId="16" xfId="0" applyFont="1" applyBorder="1"/>
    <xf numFmtId="0" fontId="23" fillId="0" borderId="14" xfId="0" applyFont="1" applyBorder="1"/>
    <xf numFmtId="0" fontId="22" fillId="0" borderId="14" xfId="0" applyFont="1" applyBorder="1"/>
    <xf numFmtId="43" fontId="20" fillId="0" borderId="14" xfId="0" applyNumberFormat="1" applyFont="1" applyBorder="1"/>
    <xf numFmtId="49" fontId="28" fillId="0" borderId="1" xfId="0" applyNumberFormat="1" applyFont="1" applyBorder="1" applyAlignment="1">
      <alignment horizontal="center" wrapText="1"/>
    </xf>
    <xf numFmtId="49" fontId="28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43" fontId="37" fillId="0" borderId="0" xfId="0" applyNumberFormat="1" applyFont="1"/>
    <xf numFmtId="0" fontId="20" fillId="0" borderId="0" xfId="0" applyFont="1" applyBorder="1" applyAlignment="1">
      <alignment horizontal="center"/>
    </xf>
    <xf numFmtId="43" fontId="20" fillId="0" borderId="9" xfId="0" applyNumberFormat="1" applyFont="1" applyBorder="1"/>
    <xf numFmtId="0" fontId="19" fillId="0" borderId="1" xfId="0" applyFont="1" applyBorder="1"/>
    <xf numFmtId="43" fontId="39" fillId="0" borderId="1" xfId="1" applyFont="1" applyBorder="1" applyAlignment="1">
      <alignment horizontal="center"/>
    </xf>
    <xf numFmtId="0" fontId="40" fillId="2" borderId="6" xfId="0" applyFont="1" applyFill="1" applyBorder="1" applyAlignment="1">
      <alignment wrapText="1"/>
    </xf>
    <xf numFmtId="0" fontId="30" fillId="0" borderId="6" xfId="0" applyFont="1" applyBorder="1"/>
    <xf numFmtId="43" fontId="41" fillId="0" borderId="1" xfId="1" applyNumberFormat="1" applyFont="1" applyBorder="1" applyAlignment="1">
      <alignment horizontal="center"/>
    </xf>
    <xf numFmtId="0" fontId="42" fillId="0" borderId="0" xfId="0" applyFont="1"/>
    <xf numFmtId="49" fontId="22" fillId="0" borderId="13" xfId="0" applyNumberFormat="1" applyFont="1" applyBorder="1" applyAlignment="1">
      <alignment horizontal="center"/>
    </xf>
    <xf numFmtId="43" fontId="22" fillId="0" borderId="5" xfId="1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4" fontId="14" fillId="0" borderId="1" xfId="0" applyNumberFormat="1" applyFont="1" applyBorder="1"/>
    <xf numFmtId="43" fontId="13" fillId="0" borderId="0" xfId="1" applyFont="1" applyBorder="1"/>
    <xf numFmtId="49" fontId="21" fillId="0" borderId="1" xfId="0" applyNumberFormat="1" applyFont="1" applyBorder="1"/>
    <xf numFmtId="0" fontId="14" fillId="2" borderId="5" xfId="0" applyFont="1" applyFill="1" applyBorder="1" applyAlignment="1">
      <alignment wrapText="1"/>
    </xf>
    <xf numFmtId="49" fontId="14" fillId="0" borderId="5" xfId="0" applyNumberFormat="1" applyFont="1" applyBorder="1"/>
    <xf numFmtId="49" fontId="23" fillId="0" borderId="16" xfId="0" applyNumberFormat="1" applyFont="1" applyBorder="1" applyAlignment="1">
      <alignment horizontal="right"/>
    </xf>
    <xf numFmtId="49" fontId="23" fillId="0" borderId="14" xfId="0" applyNumberFormat="1" applyFont="1" applyBorder="1"/>
    <xf numFmtId="0" fontId="0" fillId="0" borderId="19" xfId="0" applyBorder="1"/>
    <xf numFmtId="43" fontId="43" fillId="0" borderId="4" xfId="0" applyNumberFormat="1" applyFont="1" applyBorder="1" applyAlignment="1">
      <alignment horizontal="center"/>
    </xf>
    <xf numFmtId="49" fontId="14" fillId="0" borderId="1" xfId="0" applyNumberFormat="1" applyFont="1" applyBorder="1"/>
    <xf numFmtId="49" fontId="14" fillId="2" borderId="1" xfId="0" applyNumberFormat="1" applyFont="1" applyFill="1" applyBorder="1" applyAlignment="1">
      <alignment horizontal="center" wrapText="1"/>
    </xf>
    <xf numFmtId="43" fontId="14" fillId="2" borderId="0" xfId="1" applyFont="1" applyFill="1" applyBorder="1" applyAlignment="1">
      <alignment horizontal="right" wrapText="1"/>
    </xf>
    <xf numFmtId="0" fontId="23" fillId="0" borderId="0" xfId="0" applyFont="1" applyBorder="1"/>
    <xf numFmtId="0" fontId="20" fillId="0" borderId="5" xfId="0" applyFont="1" applyBorder="1"/>
    <xf numFmtId="0" fontId="21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43" fontId="14" fillId="0" borderId="1" xfId="0" applyNumberFormat="1" applyFont="1" applyBorder="1" applyAlignment="1">
      <alignment horizontal="left"/>
    </xf>
    <xf numFmtId="43" fontId="14" fillId="0" borderId="1" xfId="0" applyNumberFormat="1" applyFont="1" applyBorder="1" applyAlignment="1">
      <alignment horizontal="center"/>
    </xf>
    <xf numFmtId="43" fontId="21" fillId="0" borderId="1" xfId="0" applyNumberFormat="1" applyFont="1" applyBorder="1" applyAlignment="1">
      <alignment horizontal="left"/>
    </xf>
    <xf numFmtId="49" fontId="14" fillId="0" borderId="0" xfId="0" applyNumberFormat="1" applyFont="1"/>
    <xf numFmtId="43" fontId="15" fillId="0" borderId="1" xfId="0" applyNumberFormat="1" applyFont="1" applyBorder="1" applyAlignment="1">
      <alignment horizontal="center"/>
    </xf>
    <xf numFmtId="43" fontId="0" fillId="0" borderId="1" xfId="1" applyFont="1" applyBorder="1" applyAlignment="1">
      <alignment horizontal="right"/>
    </xf>
    <xf numFmtId="43" fontId="14" fillId="0" borderId="1" xfId="1" applyFont="1" applyBorder="1" applyAlignment="1">
      <alignment horizontal="center" wrapText="1"/>
    </xf>
    <xf numFmtId="0" fontId="14" fillId="0" borderId="3" xfId="0" applyFont="1" applyBorder="1"/>
    <xf numFmtId="43" fontId="33" fillId="0" borderId="6" xfId="1" applyFont="1" applyBorder="1" applyAlignment="1">
      <alignment horizontal="right" wrapText="1"/>
    </xf>
    <xf numFmtId="0" fontId="21" fillId="0" borderId="4" xfId="0" applyFont="1" applyBorder="1" applyAlignment="1">
      <alignment vertical="center" wrapText="1"/>
    </xf>
    <xf numFmtId="4" fontId="35" fillId="0" borderId="2" xfId="0" applyNumberFormat="1" applyFont="1" applyBorder="1"/>
    <xf numFmtId="43" fontId="13" fillId="0" borderId="1" xfId="0" applyNumberFormat="1" applyFont="1" applyBorder="1" applyAlignment="1">
      <alignment horizontal="center"/>
    </xf>
    <xf numFmtId="0" fontId="27" fillId="0" borderId="5" xfId="0" applyFont="1" applyFill="1" applyBorder="1" applyAlignment="1">
      <alignment horizontal="center" wrapText="1"/>
    </xf>
    <xf numFmtId="43" fontId="16" fillId="0" borderId="0" xfId="1" applyFont="1" applyBorder="1"/>
    <xf numFmtId="0" fontId="34" fillId="0" borderId="6" xfId="0" applyFont="1" applyBorder="1" applyAlignment="1">
      <alignment horizontal="right"/>
    </xf>
    <xf numFmtId="0" fontId="29" fillId="0" borderId="1" xfId="0" applyFont="1" applyBorder="1" applyAlignment="1">
      <alignment horizontal="center"/>
    </xf>
    <xf numFmtId="43" fontId="21" fillId="0" borderId="4" xfId="0" applyNumberFormat="1" applyFont="1" applyBorder="1" applyAlignment="1">
      <alignment horizontal="center"/>
    </xf>
    <xf numFmtId="43" fontId="20" fillId="0" borderId="19" xfId="0" applyNumberFormat="1" applyFont="1" applyBorder="1"/>
    <xf numFmtId="43" fontId="14" fillId="2" borderId="5" xfId="1" applyFont="1" applyFill="1" applyBorder="1" applyAlignment="1">
      <alignment horizontal="right" wrapText="1"/>
    </xf>
    <xf numFmtId="0" fontId="23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 wrapText="1"/>
    </xf>
    <xf numFmtId="4" fontId="10" fillId="0" borderId="1" xfId="0" applyNumberFormat="1" applyFont="1" applyBorder="1"/>
    <xf numFmtId="43" fontId="10" fillId="0" borderId="0" xfId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42" fillId="0" borderId="0" xfId="0" applyFont="1" applyAlignment="1">
      <alignment horizontal="left"/>
    </xf>
    <xf numFmtId="0" fontId="21" fillId="0" borderId="4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3" fillId="2" borderId="1" xfId="0" applyFont="1" applyFill="1" applyBorder="1" applyAlignment="1">
      <alignment horizontal="right" wrapText="1"/>
    </xf>
    <xf numFmtId="43" fontId="14" fillId="0" borderId="6" xfId="1" applyFont="1" applyBorder="1" applyAlignment="1">
      <alignment horizontal="right"/>
    </xf>
    <xf numFmtId="43" fontId="13" fillId="0" borderId="6" xfId="1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4" fontId="44" fillId="2" borderId="1" xfId="0" applyNumberFormat="1" applyFont="1" applyFill="1" applyBorder="1" applyAlignment="1">
      <alignment horizontal="right" wrapText="1"/>
    </xf>
    <xf numFmtId="0" fontId="44" fillId="2" borderId="1" xfId="0" applyFont="1" applyFill="1" applyBorder="1" applyAlignment="1">
      <alignment horizontal="right" wrapText="1"/>
    </xf>
    <xf numFmtId="0" fontId="44" fillId="2" borderId="1" xfId="0" applyFont="1" applyFill="1" applyBorder="1" applyAlignment="1">
      <alignment horizontal="center" wrapText="1"/>
    </xf>
    <xf numFmtId="0" fontId="44" fillId="2" borderId="1" xfId="0" applyFont="1" applyFill="1" applyBorder="1" applyAlignment="1">
      <alignment wrapText="1"/>
    </xf>
    <xf numFmtId="43" fontId="44" fillId="2" borderId="1" xfId="1" applyFont="1" applyFill="1" applyBorder="1" applyAlignment="1">
      <alignment horizontal="right" wrapText="1"/>
    </xf>
    <xf numFmtId="43" fontId="14" fillId="0" borderId="6" xfId="1" applyFont="1" applyBorder="1" applyAlignment="1">
      <alignment horizontal="center"/>
    </xf>
    <xf numFmtId="43" fontId="13" fillId="3" borderId="1" xfId="1" applyFont="1" applyFill="1" applyBorder="1" applyAlignment="1">
      <alignment horizontal="center" wrapText="1"/>
    </xf>
    <xf numFmtId="43" fontId="16" fillId="0" borderId="1" xfId="1" applyFont="1" applyBorder="1"/>
    <xf numFmtId="43" fontId="14" fillId="2" borderId="3" xfId="1" applyFont="1" applyFill="1" applyBorder="1" applyAlignment="1">
      <alignment horizontal="right" wrapText="1"/>
    </xf>
    <xf numFmtId="4" fontId="45" fillId="2" borderId="1" xfId="0" applyNumberFormat="1" applyFont="1" applyFill="1" applyBorder="1" applyAlignment="1">
      <alignment horizontal="right" wrapText="1"/>
    </xf>
    <xf numFmtId="43" fontId="21" fillId="2" borderId="3" xfId="1" applyFont="1" applyFill="1" applyBorder="1" applyAlignment="1">
      <alignment horizontal="right" wrapText="1"/>
    </xf>
    <xf numFmtId="43" fontId="21" fillId="2" borderId="1" xfId="1" applyFont="1" applyFill="1" applyBorder="1" applyAlignment="1">
      <alignment horizontal="right" wrapText="1"/>
    </xf>
    <xf numFmtId="43" fontId="43" fillId="0" borderId="1" xfId="1" applyFont="1" applyBorder="1"/>
    <xf numFmtId="43" fontId="20" fillId="0" borderId="1" xfId="1" applyFont="1" applyBorder="1"/>
    <xf numFmtId="0" fontId="21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1" fillId="0" borderId="6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43" fontId="46" fillId="2" borderId="1" xfId="1" applyFont="1" applyFill="1" applyBorder="1" applyAlignment="1">
      <alignment horizontal="right" wrapText="1"/>
    </xf>
    <xf numFmtId="0" fontId="19" fillId="0" borderId="6" xfId="0" applyFont="1" applyBorder="1"/>
    <xf numFmtId="0" fontId="20" fillId="0" borderId="0" xfId="0" applyFont="1" applyBorder="1" applyAlignment="1">
      <alignment horizontal="center"/>
    </xf>
    <xf numFmtId="43" fontId="32" fillId="2" borderId="1" xfId="1" applyFont="1" applyFill="1" applyBorder="1" applyAlignment="1">
      <alignment horizontal="right" wrapText="1"/>
    </xf>
    <xf numFmtId="43" fontId="36" fillId="0" borderId="1" xfId="1" applyFont="1" applyBorder="1"/>
    <xf numFmtId="43" fontId="48" fillId="0" borderId="1" xfId="1" applyFont="1" applyBorder="1"/>
    <xf numFmtId="0" fontId="21" fillId="0" borderId="0" xfId="0" applyFont="1"/>
    <xf numFmtId="0" fontId="21" fillId="0" borderId="0" xfId="0" applyFont="1" applyAlignment="1">
      <alignment wrapText="1"/>
    </xf>
    <xf numFmtId="43" fontId="9" fillId="0" borderId="1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45" fillId="0" borderId="0" xfId="0" applyFont="1"/>
    <xf numFmtId="49" fontId="14" fillId="0" borderId="6" xfId="0" applyNumberFormat="1" applyFont="1" applyBorder="1"/>
    <xf numFmtId="0" fontId="45" fillId="0" borderId="0" xfId="0" applyFont="1" applyAlignment="1">
      <alignment wrapText="1"/>
    </xf>
    <xf numFmtId="0" fontId="22" fillId="0" borderId="21" xfId="0" applyFont="1" applyBorder="1"/>
    <xf numFmtId="43" fontId="13" fillId="0" borderId="21" xfId="0" applyNumberFormat="1" applyFont="1" applyBorder="1"/>
    <xf numFmtId="0" fontId="5" fillId="0" borderId="23" xfId="0" applyFont="1" applyBorder="1"/>
    <xf numFmtId="0" fontId="14" fillId="0" borderId="23" xfId="0" applyFont="1" applyBorder="1" applyAlignment="1">
      <alignment wrapText="1"/>
    </xf>
    <xf numFmtId="49" fontId="13" fillId="0" borderId="6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wrapText="1"/>
    </xf>
    <xf numFmtId="49" fontId="13" fillId="0" borderId="5" xfId="0" applyNumberFormat="1" applyFont="1" applyBorder="1" applyAlignment="1">
      <alignment horizontal="right"/>
    </xf>
    <xf numFmtId="43" fontId="16" fillId="0" borderId="5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right"/>
    </xf>
    <xf numFmtId="0" fontId="32" fillId="0" borderId="21" xfId="0" applyFont="1" applyBorder="1"/>
    <xf numFmtId="0" fontId="5" fillId="0" borderId="21" xfId="0" applyFont="1" applyBorder="1"/>
    <xf numFmtId="0" fontId="14" fillId="0" borderId="5" xfId="0" applyFont="1" applyBorder="1"/>
    <xf numFmtId="49" fontId="14" fillId="2" borderId="5" xfId="0" applyNumberFormat="1" applyFont="1" applyFill="1" applyBorder="1" applyAlignment="1">
      <alignment horizontal="center" wrapText="1"/>
    </xf>
    <xf numFmtId="49" fontId="14" fillId="2" borderId="6" xfId="0" applyNumberFormat="1" applyFont="1" applyFill="1" applyBorder="1" applyAlignment="1">
      <alignment horizontal="center" wrapText="1"/>
    </xf>
    <xf numFmtId="0" fontId="14" fillId="0" borderId="6" xfId="0" applyFont="1" applyBorder="1"/>
    <xf numFmtId="49" fontId="14" fillId="2" borderId="4" xfId="0" applyNumberFormat="1" applyFont="1" applyFill="1" applyBorder="1" applyAlignment="1">
      <alignment horizontal="center" wrapText="1"/>
    </xf>
    <xf numFmtId="0" fontId="23" fillId="0" borderId="5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43" fontId="13" fillId="0" borderId="0" xfId="1" applyFont="1"/>
    <xf numFmtId="49" fontId="14" fillId="0" borderId="4" xfId="0" applyNumberFormat="1" applyFont="1" applyBorder="1"/>
    <xf numFmtId="0" fontId="21" fillId="0" borderId="17" xfId="0" applyFont="1" applyBorder="1"/>
    <xf numFmtId="43" fontId="25" fillId="0" borderId="0" xfId="0" applyNumberFormat="1" applyFont="1" applyBorder="1" applyAlignment="1">
      <alignment horizontal="center"/>
    </xf>
    <xf numFmtId="0" fontId="21" fillId="0" borderId="21" xfId="0" applyFont="1" applyBorder="1" applyAlignment="1">
      <alignment wrapText="1"/>
    </xf>
    <xf numFmtId="49" fontId="14" fillId="2" borderId="21" xfId="0" applyNumberFormat="1" applyFont="1" applyFill="1" applyBorder="1" applyAlignment="1">
      <alignment horizontal="center" wrapText="1"/>
    </xf>
    <xf numFmtId="43" fontId="25" fillId="0" borderId="21" xfId="0" applyNumberFormat="1" applyFont="1" applyBorder="1" applyAlignment="1">
      <alignment horizontal="center"/>
    </xf>
    <xf numFmtId="43" fontId="25" fillId="0" borderId="22" xfId="0" applyNumberFormat="1" applyFont="1" applyBorder="1" applyAlignment="1">
      <alignment horizontal="center"/>
    </xf>
    <xf numFmtId="0" fontId="22" fillId="0" borderId="23" xfId="0" applyFont="1" applyBorder="1"/>
    <xf numFmtId="0" fontId="21" fillId="0" borderId="24" xfId="0" applyFont="1" applyBorder="1"/>
    <xf numFmtId="49" fontId="14" fillId="0" borderId="23" xfId="0" applyNumberFormat="1" applyFont="1" applyBorder="1"/>
    <xf numFmtId="0" fontId="14" fillId="0" borderId="24" xfId="0" applyFont="1" applyBorder="1" applyAlignment="1">
      <alignment wrapText="1"/>
    </xf>
    <xf numFmtId="43" fontId="16" fillId="0" borderId="23" xfId="0" applyNumberFormat="1" applyFont="1" applyBorder="1" applyAlignment="1">
      <alignment horizontal="center"/>
    </xf>
    <xf numFmtId="43" fontId="16" fillId="0" borderId="24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0" borderId="25" xfId="0" applyFont="1" applyBorder="1"/>
    <xf numFmtId="0" fontId="22" fillId="0" borderId="26" xfId="0" applyFont="1" applyBorder="1"/>
    <xf numFmtId="49" fontId="22" fillId="0" borderId="27" xfId="0" applyNumberFormat="1" applyFont="1" applyBorder="1"/>
    <xf numFmtId="43" fontId="20" fillId="0" borderId="26" xfId="1" applyFont="1" applyBorder="1"/>
    <xf numFmtId="0" fontId="5" fillId="0" borderId="19" xfId="0" applyFont="1" applyBorder="1"/>
    <xf numFmtId="43" fontId="25" fillId="0" borderId="6" xfId="0" applyNumberFormat="1" applyFont="1" applyBorder="1" applyAlignment="1">
      <alignment horizontal="center"/>
    </xf>
    <xf numFmtId="0" fontId="14" fillId="0" borderId="0" xfId="0" applyFont="1"/>
    <xf numFmtId="0" fontId="44" fillId="2" borderId="5" xfId="0" applyFont="1" applyFill="1" applyBorder="1" applyAlignment="1">
      <alignment horizontal="right" wrapText="1"/>
    </xf>
    <xf numFmtId="0" fontId="44" fillId="0" borderId="5" xfId="0" applyFont="1" applyBorder="1"/>
    <xf numFmtId="43" fontId="14" fillId="0" borderId="5" xfId="0" applyNumberFormat="1" applyFont="1" applyBorder="1" applyAlignment="1">
      <alignment horizontal="left"/>
    </xf>
    <xf numFmtId="43" fontId="14" fillId="0" borderId="5" xfId="0" applyNumberFormat="1" applyFont="1" applyBorder="1" applyAlignment="1">
      <alignment horizontal="center"/>
    </xf>
    <xf numFmtId="43" fontId="21" fillId="0" borderId="6" xfId="0" applyNumberFormat="1" applyFont="1" applyBorder="1" applyAlignment="1">
      <alignment horizontal="left"/>
    </xf>
    <xf numFmtId="0" fontId="14" fillId="0" borderId="1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3" fontId="21" fillId="0" borderId="4" xfId="0" applyNumberFormat="1" applyFont="1" applyBorder="1" applyAlignment="1">
      <alignment horizontal="left"/>
    </xf>
    <xf numFmtId="43" fontId="21" fillId="0" borderId="9" xfId="0" applyNumberFormat="1" applyFont="1" applyBorder="1" applyAlignment="1">
      <alignment horizontal="left"/>
    </xf>
    <xf numFmtId="43" fontId="48" fillId="0" borderId="14" xfId="0" applyNumberFormat="1" applyFont="1" applyBorder="1"/>
    <xf numFmtId="43" fontId="38" fillId="2" borderId="3" xfId="1" applyFont="1" applyFill="1" applyBorder="1" applyAlignment="1">
      <alignment horizontal="right" wrapText="1"/>
    </xf>
    <xf numFmtId="0" fontId="20" fillId="0" borderId="0" xfId="0" applyFont="1" applyBorder="1" applyAlignment="1">
      <alignment horizontal="center"/>
    </xf>
    <xf numFmtId="0" fontId="44" fillId="2" borderId="5" xfId="0" applyFont="1" applyFill="1" applyBorder="1" applyAlignment="1">
      <alignment wrapText="1"/>
    </xf>
    <xf numFmtId="43" fontId="14" fillId="0" borderId="5" xfId="0" applyNumberFormat="1" applyFont="1" applyBorder="1" applyAlignment="1">
      <alignment horizontal="right"/>
    </xf>
    <xf numFmtId="43" fontId="21" fillId="0" borderId="5" xfId="0" applyNumberFormat="1" applyFont="1" applyBorder="1" applyAlignment="1">
      <alignment horizontal="left"/>
    </xf>
    <xf numFmtId="0" fontId="45" fillId="0" borderId="17" xfId="0" applyFont="1" applyBorder="1" applyAlignment="1">
      <alignment wrapText="1"/>
    </xf>
    <xf numFmtId="0" fontId="45" fillId="0" borderId="6" xfId="0" applyFont="1" applyBorder="1" applyAlignment="1">
      <alignment wrapText="1"/>
    </xf>
    <xf numFmtId="0" fontId="45" fillId="0" borderId="4" xfId="0" applyFont="1" applyBorder="1" applyAlignment="1">
      <alignment wrapText="1"/>
    </xf>
    <xf numFmtId="43" fontId="14" fillId="0" borderId="21" xfId="1" applyFont="1" applyBorder="1" applyAlignment="1">
      <alignment horizontal="center"/>
    </xf>
    <xf numFmtId="43" fontId="15" fillId="0" borderId="5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5" xfId="0" applyFont="1" applyBorder="1" applyAlignment="1">
      <alignment vertical="center"/>
    </xf>
    <xf numFmtId="4" fontId="14" fillId="0" borderId="5" xfId="0" applyNumberFormat="1" applyFont="1" applyBorder="1"/>
    <xf numFmtId="43" fontId="13" fillId="0" borderId="21" xfId="1" applyFont="1" applyBorder="1" applyAlignment="1">
      <alignment horizontal="right"/>
    </xf>
    <xf numFmtId="0" fontId="21" fillId="0" borderId="4" xfId="0" applyFont="1" applyBorder="1"/>
    <xf numFmtId="0" fontId="14" fillId="0" borderId="21" xfId="0" applyFont="1" applyBorder="1" applyAlignment="1">
      <alignment horizontal="center"/>
    </xf>
    <xf numFmtId="43" fontId="21" fillId="0" borderId="4" xfId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9" fontId="14" fillId="2" borderId="5" xfId="0" applyNumberFormat="1" applyFont="1" applyFill="1" applyBorder="1" applyAlignment="1">
      <alignment wrapText="1"/>
    </xf>
    <xf numFmtId="43" fontId="32" fillId="0" borderId="5" xfId="1" applyFont="1" applyBorder="1" applyAlignment="1">
      <alignment horizontal="center"/>
    </xf>
    <xf numFmtId="43" fontId="32" fillId="0" borderId="21" xfId="1" applyFont="1" applyBorder="1" applyAlignment="1">
      <alignment horizontal="center"/>
    </xf>
    <xf numFmtId="43" fontId="49" fillId="0" borderId="5" xfId="0" applyNumberFormat="1" applyFont="1" applyBorder="1" applyAlignment="1">
      <alignment horizontal="center"/>
    </xf>
    <xf numFmtId="43" fontId="48" fillId="0" borderId="4" xfId="0" applyNumberFormat="1" applyFont="1" applyBorder="1" applyAlignment="1">
      <alignment horizontal="center"/>
    </xf>
    <xf numFmtId="43" fontId="33" fillId="0" borderId="4" xfId="0" applyNumberFormat="1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14" fillId="0" borderId="2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43" fontId="14" fillId="0" borderId="21" xfId="1" applyFont="1" applyBorder="1" applyAlignment="1">
      <alignment horizontal="right"/>
    </xf>
    <xf numFmtId="43" fontId="32" fillId="0" borderId="1" xfId="1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50" fillId="0" borderId="1" xfId="0" applyFont="1" applyBorder="1" applyAlignment="1">
      <alignment wrapText="1"/>
    </xf>
    <xf numFmtId="49" fontId="21" fillId="0" borderId="1" xfId="0" applyNumberFormat="1" applyFont="1" applyBorder="1" applyAlignment="1">
      <alignment horizontal="center"/>
    </xf>
    <xf numFmtId="43" fontId="36" fillId="0" borderId="14" xfId="0" applyNumberFormat="1" applyFont="1" applyBorder="1"/>
    <xf numFmtId="0" fontId="21" fillId="0" borderId="29" xfId="0" applyFont="1" applyBorder="1" applyAlignment="1">
      <alignment wrapText="1"/>
    </xf>
    <xf numFmtId="49" fontId="14" fillId="0" borderId="1" xfId="0" applyNumberFormat="1" applyFont="1" applyBorder="1" applyAlignment="1">
      <alignment horizontal="right"/>
    </xf>
    <xf numFmtId="4" fontId="22" fillId="2" borderId="1" xfId="0" applyNumberFormat="1" applyFont="1" applyFill="1" applyBorder="1" applyAlignment="1">
      <alignment horizontal="right" wrapText="1"/>
    </xf>
    <xf numFmtId="43" fontId="51" fillId="2" borderId="1" xfId="1" applyFont="1" applyFill="1" applyBorder="1" applyAlignment="1">
      <alignment horizontal="right" wrapText="1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4" fillId="0" borderId="29" xfId="0" applyNumberFormat="1" applyFont="1" applyBorder="1"/>
    <xf numFmtId="43" fontId="21" fillId="0" borderId="29" xfId="0" applyNumberFormat="1" applyFont="1" applyBorder="1" applyAlignment="1">
      <alignment horizontal="left"/>
    </xf>
    <xf numFmtId="43" fontId="21" fillId="0" borderId="30" xfId="0" applyNumberFormat="1" applyFont="1" applyBorder="1" applyAlignment="1">
      <alignment horizontal="left"/>
    </xf>
    <xf numFmtId="0" fontId="14" fillId="0" borderId="16" xfId="0" applyFont="1" applyBorder="1"/>
    <xf numFmtId="0" fontId="14" fillId="0" borderId="14" xfId="0" applyFont="1" applyBorder="1"/>
    <xf numFmtId="0" fontId="21" fillId="0" borderId="14" xfId="0" applyFont="1" applyBorder="1" applyAlignment="1">
      <alignment horizontal="right" wrapText="1"/>
    </xf>
    <xf numFmtId="0" fontId="45" fillId="0" borderId="1" xfId="0" applyFont="1" applyBorder="1"/>
    <xf numFmtId="0" fontId="34" fillId="2" borderId="5" xfId="0" applyFont="1" applyFill="1" applyBorder="1" applyAlignment="1">
      <alignment horizontal="center" wrapText="1"/>
    </xf>
    <xf numFmtId="0" fontId="34" fillId="2" borderId="5" xfId="0" applyFont="1" applyFill="1" applyBorder="1" applyAlignment="1">
      <alignment wrapText="1"/>
    </xf>
    <xf numFmtId="4" fontId="22" fillId="2" borderId="5" xfId="0" applyNumberFormat="1" applyFont="1" applyFill="1" applyBorder="1" applyAlignment="1">
      <alignment horizontal="right" wrapText="1"/>
    </xf>
    <xf numFmtId="43" fontId="32" fillId="2" borderId="5" xfId="1" applyFont="1" applyFill="1" applyBorder="1" applyAlignment="1">
      <alignment horizontal="right" wrapText="1"/>
    </xf>
    <xf numFmtId="0" fontId="45" fillId="0" borderId="6" xfId="0" applyFont="1" applyBorder="1"/>
    <xf numFmtId="43" fontId="51" fillId="0" borderId="6" xfId="0" applyNumberFormat="1" applyFont="1" applyBorder="1" applyAlignment="1">
      <alignment horizontal="left"/>
    </xf>
    <xf numFmtId="0" fontId="44" fillId="2" borderId="5" xfId="0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49" fontId="21" fillId="0" borderId="4" xfId="0" applyNumberFormat="1" applyFont="1" applyBorder="1"/>
    <xf numFmtId="43" fontId="52" fillId="2" borderId="3" xfId="1" applyFont="1" applyFill="1" applyBorder="1" applyAlignment="1">
      <alignment horizontal="right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4" fontId="20" fillId="0" borderId="3" xfId="0" applyNumberFormat="1" applyFont="1" applyBorder="1"/>
    <xf numFmtId="0" fontId="22" fillId="0" borderId="0" xfId="0" applyFont="1"/>
    <xf numFmtId="0" fontId="28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43" fontId="13" fillId="0" borderId="6" xfId="1" applyFont="1" applyBorder="1" applyAlignment="1">
      <alignment wrapText="1"/>
    </xf>
    <xf numFmtId="4" fontId="13" fillId="0" borderId="1" xfId="0" applyNumberFormat="1" applyFont="1" applyBorder="1"/>
    <xf numFmtId="0" fontId="14" fillId="0" borderId="21" xfId="0" applyFont="1" applyBorder="1" applyAlignment="1">
      <alignment horizontal="center" wrapText="1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0" fontId="45" fillId="0" borderId="29" xfId="0" applyFont="1" applyBorder="1" applyAlignment="1">
      <alignment wrapText="1"/>
    </xf>
    <xf numFmtId="43" fontId="13" fillId="0" borderId="21" xfId="1" applyFont="1" applyBorder="1" applyAlignment="1">
      <alignment horizontal="center"/>
    </xf>
    <xf numFmtId="49" fontId="14" fillId="0" borderId="21" xfId="0" applyNumberFormat="1" applyFont="1" applyBorder="1"/>
    <xf numFmtId="0" fontId="44" fillId="0" borderId="21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0" fillId="0" borderId="0" xfId="0" applyBorder="1" applyAlignment="1">
      <alignment horizontal="center"/>
    </xf>
    <xf numFmtId="43" fontId="13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3" fontId="13" fillId="0" borderId="5" xfId="1" applyFont="1" applyBorder="1" applyAlignment="1">
      <alignment horizontal="center"/>
    </xf>
    <xf numFmtId="43" fontId="20" fillId="0" borderId="4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6" fillId="0" borderId="5" xfId="1" applyFont="1" applyBorder="1" applyAlignment="1">
      <alignment horizontal="center"/>
    </xf>
    <xf numFmtId="43" fontId="12" fillId="0" borderId="4" xfId="0" applyNumberFormat="1" applyFont="1" applyBorder="1" applyAlignment="1">
      <alignment horizontal="center"/>
    </xf>
    <xf numFmtId="4" fontId="13" fillId="2" borderId="3" xfId="0" applyNumberFormat="1" applyFont="1" applyFill="1" applyBorder="1" applyAlignment="1">
      <alignment horizontal="right" wrapText="1"/>
    </xf>
    <xf numFmtId="43" fontId="20" fillId="0" borderId="3" xfId="1" applyFont="1" applyBorder="1"/>
    <xf numFmtId="0" fontId="22" fillId="0" borderId="0" xfId="0" applyFont="1" applyBorder="1"/>
    <xf numFmtId="0" fontId="38" fillId="0" borderId="1" xfId="0" applyFont="1" applyBorder="1"/>
    <xf numFmtId="0" fontId="54" fillId="2" borderId="1" xfId="0" applyFont="1" applyFill="1" applyBorder="1" applyAlignment="1">
      <alignment wrapText="1"/>
    </xf>
    <xf numFmtId="4" fontId="54" fillId="2" borderId="1" xfId="0" applyNumberFormat="1" applyFont="1" applyFill="1" applyBorder="1" applyAlignment="1">
      <alignment horizontal="right" wrapText="1"/>
    </xf>
    <xf numFmtId="43" fontId="15" fillId="2" borderId="3" xfId="1" applyFont="1" applyFill="1" applyBorder="1" applyAlignment="1">
      <alignment horizontal="right" wrapText="1"/>
    </xf>
    <xf numFmtId="0" fontId="15" fillId="0" borderId="1" xfId="0" applyFont="1" applyBorder="1"/>
    <xf numFmtId="43" fontId="54" fillId="2" borderId="1" xfId="1" applyFont="1" applyFill="1" applyBorder="1" applyAlignment="1">
      <alignment horizontal="right" wrapText="1"/>
    </xf>
    <xf numFmtId="43" fontId="14" fillId="0" borderId="1" xfId="1" applyFont="1" applyBorder="1" applyAlignment="1">
      <alignment horizontal="center"/>
    </xf>
    <xf numFmtId="0" fontId="13" fillId="0" borderId="1" xfId="0" applyFont="1" applyBorder="1"/>
    <xf numFmtId="43" fontId="14" fillId="0" borderId="5" xfId="1" applyFont="1" applyBorder="1" applyAlignment="1">
      <alignment horizontal="center"/>
    </xf>
    <xf numFmtId="0" fontId="21" fillId="0" borderId="0" xfId="0" applyFont="1" applyBorder="1" applyAlignment="1">
      <alignment wrapText="1"/>
    </xf>
    <xf numFmtId="0" fontId="14" fillId="0" borderId="0" xfId="0" applyFont="1" applyBorder="1"/>
    <xf numFmtId="0" fontId="18" fillId="0" borderId="0" xfId="0" applyFont="1"/>
    <xf numFmtId="43" fontId="13" fillId="0" borderId="1" xfId="1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43" fontId="16" fillId="0" borderId="5" xfId="0" applyNumberFormat="1" applyFont="1" applyBorder="1"/>
    <xf numFmtId="43" fontId="15" fillId="0" borderId="6" xfId="1" applyFont="1" applyBorder="1" applyAlignment="1">
      <alignment horizontal="center"/>
    </xf>
    <xf numFmtId="0" fontId="24" fillId="0" borderId="5" xfId="0" applyFont="1" applyBorder="1"/>
    <xf numFmtId="4" fontId="44" fillId="2" borderId="5" xfId="0" applyNumberFormat="1" applyFont="1" applyFill="1" applyBorder="1" applyAlignment="1">
      <alignment horizontal="right" wrapText="1"/>
    </xf>
    <xf numFmtId="0" fontId="44" fillId="2" borderId="0" xfId="0" applyFont="1" applyFill="1" applyBorder="1" applyAlignment="1">
      <alignment horizontal="center" wrapText="1"/>
    </xf>
    <xf numFmtId="0" fontId="44" fillId="2" borderId="0" xfId="0" applyFont="1" applyFill="1" applyBorder="1" applyAlignment="1">
      <alignment wrapText="1"/>
    </xf>
    <xf numFmtId="4" fontId="44" fillId="2" borderId="0" xfId="0" applyNumberFormat="1" applyFont="1" applyFill="1" applyBorder="1" applyAlignment="1">
      <alignment horizontal="right" wrapText="1"/>
    </xf>
    <xf numFmtId="0" fontId="32" fillId="2" borderId="1" xfId="0" applyFont="1" applyFill="1" applyBorder="1" applyAlignment="1">
      <alignment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4" fontId="22" fillId="2" borderId="1" xfId="0" applyNumberFormat="1" applyFont="1" applyFill="1" applyBorder="1" applyAlignment="1">
      <alignment horizontal="right" vertical="center" wrapText="1"/>
    </xf>
    <xf numFmtId="4" fontId="18" fillId="2" borderId="1" xfId="0" applyNumberFormat="1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right" vertical="center" wrapText="1"/>
    </xf>
    <xf numFmtId="49" fontId="22" fillId="2" borderId="6" xfId="0" applyNumberFormat="1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right" vertical="center" wrapText="1"/>
    </xf>
    <xf numFmtId="4" fontId="22" fillId="2" borderId="6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right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right" vertical="center" wrapText="1"/>
    </xf>
    <xf numFmtId="4" fontId="22" fillId="2" borderId="5" xfId="0" applyNumberFormat="1" applyFont="1" applyFill="1" applyBorder="1" applyAlignment="1">
      <alignment horizontal="right" vertical="center" wrapText="1"/>
    </xf>
    <xf numFmtId="4" fontId="18" fillId="2" borderId="5" xfId="0" applyNumberFormat="1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4" fontId="0" fillId="2" borderId="1" xfId="0" applyNumberFormat="1" applyFill="1" applyBorder="1" applyAlignment="1">
      <alignment horizontal="right" vertical="center" wrapText="1"/>
    </xf>
    <xf numFmtId="49" fontId="0" fillId="0" borderId="0" xfId="0" applyNumberFormat="1"/>
    <xf numFmtId="0" fontId="22" fillId="2" borderId="1" xfId="0" applyNumberFormat="1" applyFont="1" applyFill="1" applyBorder="1" applyAlignment="1">
      <alignment horizontal="center" vertical="center" wrapText="1"/>
    </xf>
    <xf numFmtId="49" fontId="53" fillId="2" borderId="1" xfId="0" applyNumberFormat="1" applyFont="1" applyFill="1" applyBorder="1" applyAlignment="1">
      <alignment horizontal="center" vertical="center" wrapText="1"/>
    </xf>
    <xf numFmtId="49" fontId="53" fillId="2" borderId="1" xfId="0" applyNumberFormat="1" applyFont="1" applyFill="1" applyBorder="1" applyAlignment="1">
      <alignment horizontal="left" vertical="center" wrapText="1"/>
    </xf>
    <xf numFmtId="4" fontId="53" fillId="2" borderId="1" xfId="0" applyNumberFormat="1" applyFont="1" applyFill="1" applyBorder="1" applyAlignment="1">
      <alignment horizontal="right" vertical="center" wrapText="1"/>
    </xf>
    <xf numFmtId="4" fontId="55" fillId="2" borderId="1" xfId="0" applyNumberFormat="1" applyFont="1" applyFill="1" applyBorder="1" applyAlignment="1">
      <alignment horizontal="right" vertical="center" wrapText="1"/>
    </xf>
    <xf numFmtId="49" fontId="47" fillId="2" borderId="1" xfId="0" applyNumberFormat="1" applyFont="1" applyFill="1" applyBorder="1" applyAlignment="1">
      <alignment horizontal="left" vertical="center" wrapText="1"/>
    </xf>
    <xf numFmtId="49" fontId="56" fillId="2" borderId="1" xfId="0" applyNumberFormat="1" applyFont="1" applyFill="1" applyBorder="1" applyAlignment="1">
      <alignment horizontal="center" vertical="center" wrapText="1"/>
    </xf>
    <xf numFmtId="49" fontId="56" fillId="2" borderId="1" xfId="0" applyNumberFormat="1" applyFont="1" applyFill="1" applyBorder="1" applyAlignment="1">
      <alignment horizontal="left" vertical="center" wrapText="1"/>
    </xf>
    <xf numFmtId="4" fontId="56" fillId="2" borderId="1" xfId="0" applyNumberFormat="1" applyFont="1" applyFill="1" applyBorder="1" applyAlignment="1">
      <alignment horizontal="right" vertical="center" wrapText="1"/>
    </xf>
    <xf numFmtId="4" fontId="57" fillId="2" borderId="1" xfId="0" applyNumberFormat="1" applyFont="1" applyFill="1" applyBorder="1" applyAlignment="1">
      <alignment horizontal="right" vertical="center" wrapText="1"/>
    </xf>
    <xf numFmtId="0" fontId="56" fillId="2" borderId="1" xfId="0" applyFont="1" applyFill="1" applyBorder="1" applyAlignment="1">
      <alignment horizontal="right" vertical="center" wrapText="1"/>
    </xf>
    <xf numFmtId="0" fontId="53" fillId="2" borderId="1" xfId="0" applyFont="1" applyFill="1" applyBorder="1" applyAlignment="1">
      <alignment horizontal="right" vertical="center" wrapText="1"/>
    </xf>
    <xf numFmtId="49" fontId="58" fillId="2" borderId="1" xfId="0" applyNumberFormat="1" applyFont="1" applyFill="1" applyBorder="1" applyAlignment="1">
      <alignment vertical="center" wrapText="1"/>
    </xf>
    <xf numFmtId="0" fontId="58" fillId="2" borderId="1" xfId="0" applyFont="1" applyFill="1" applyBorder="1" applyAlignment="1">
      <alignment horizontal="right" vertical="center" wrapText="1"/>
    </xf>
    <xf numFmtId="4" fontId="5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right" wrapText="1"/>
    </xf>
    <xf numFmtId="43" fontId="20" fillId="0" borderId="0" xfId="1" applyFont="1" applyBorder="1"/>
    <xf numFmtId="0" fontId="13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3" fillId="2" borderId="13" xfId="0" applyFont="1" applyFill="1" applyBorder="1" applyAlignment="1">
      <alignment horizontal="center" vertical="center" wrapText="1"/>
    </xf>
    <xf numFmtId="43" fontId="44" fillId="2" borderId="5" xfId="1" applyFont="1" applyFill="1" applyBorder="1" applyAlignment="1">
      <alignment horizontal="right" wrapText="1"/>
    </xf>
    <xf numFmtId="43" fontId="13" fillId="0" borderId="5" xfId="1" applyFont="1" applyBorder="1"/>
    <xf numFmtId="43" fontId="44" fillId="2" borderId="0" xfId="1" applyFont="1" applyFill="1" applyBorder="1" applyAlignment="1">
      <alignment horizontal="right" wrapText="1"/>
    </xf>
    <xf numFmtId="4" fontId="44" fillId="0" borderId="1" xfId="0" applyNumberFormat="1" applyFont="1" applyBorder="1"/>
    <xf numFmtId="0" fontId="0" fillId="0" borderId="1" xfId="0" applyFont="1" applyBorder="1"/>
    <xf numFmtId="0" fontId="0" fillId="0" borderId="0" xfId="0" applyFont="1" applyBorder="1"/>
    <xf numFmtId="43" fontId="13" fillId="2" borderId="1" xfId="1" applyFont="1" applyFill="1" applyBorder="1" applyAlignment="1">
      <alignment horizontal="right" wrapText="1"/>
    </xf>
    <xf numFmtId="43" fontId="16" fillId="2" borderId="1" xfId="1" applyFont="1" applyFill="1" applyBorder="1" applyAlignment="1">
      <alignment horizontal="right" wrapText="1"/>
    </xf>
    <xf numFmtId="43" fontId="44" fillId="0" borderId="1" xfId="1" applyFont="1" applyBorder="1"/>
    <xf numFmtId="49" fontId="14" fillId="2" borderId="0" xfId="0" applyNumberFormat="1" applyFont="1" applyFill="1" applyBorder="1" applyAlignment="1">
      <alignment horizontal="center" wrapText="1"/>
    </xf>
    <xf numFmtId="0" fontId="22" fillId="0" borderId="16" xfId="0" applyFont="1" applyBorder="1"/>
    <xf numFmtId="49" fontId="14" fillId="2" borderId="14" xfId="0" applyNumberFormat="1" applyFont="1" applyFill="1" applyBorder="1" applyAlignment="1">
      <alignment horizontal="center" wrapText="1"/>
    </xf>
    <xf numFmtId="0" fontId="21" fillId="0" borderId="27" xfId="0" applyFont="1" applyBorder="1" applyAlignment="1">
      <alignment wrapText="1"/>
    </xf>
    <xf numFmtId="43" fontId="25" fillId="0" borderId="14" xfId="0" applyNumberFormat="1" applyFont="1" applyBorder="1" applyAlignment="1">
      <alignment horizontal="center"/>
    </xf>
    <xf numFmtId="4" fontId="28" fillId="2" borderId="1" xfId="0" applyNumberFormat="1" applyFont="1" applyFill="1" applyBorder="1" applyAlignment="1">
      <alignment horizontal="right" vertical="center" wrapText="1"/>
    </xf>
    <xf numFmtId="4" fontId="20" fillId="2" borderId="1" xfId="0" applyNumberFormat="1" applyFont="1" applyFill="1" applyBorder="1" applyAlignment="1">
      <alignment horizontal="right" vertical="center" wrapText="1"/>
    </xf>
    <xf numFmtId="49" fontId="22" fillId="2" borderId="0" xfId="0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Border="1" applyAlignment="1">
      <alignment horizontal="right" vertical="center" wrapText="1"/>
    </xf>
    <xf numFmtId="4" fontId="22" fillId="2" borderId="0" xfId="0" applyNumberFormat="1" applyFont="1" applyFill="1" applyBorder="1" applyAlignment="1">
      <alignment horizontal="right" vertical="center" wrapText="1"/>
    </xf>
    <xf numFmtId="4" fontId="18" fillId="2" borderId="0" xfId="0" applyNumberFormat="1" applyFont="1" applyFill="1" applyBorder="1" applyAlignment="1">
      <alignment horizontal="right" vertical="center" wrapText="1"/>
    </xf>
    <xf numFmtId="49" fontId="23" fillId="0" borderId="0" xfId="0" applyNumberFormat="1" applyFont="1" applyAlignment="1"/>
    <xf numFmtId="49" fontId="23" fillId="0" borderId="0" xfId="0" applyNumberFormat="1" applyFont="1" applyAlignment="1">
      <alignment horizontal="right"/>
    </xf>
    <xf numFmtId="0" fontId="22" fillId="2" borderId="0" xfId="0" applyNumberFormat="1" applyFont="1" applyFill="1" applyBorder="1" applyAlignment="1">
      <alignment horizontal="center" vertical="center" wrapText="1"/>
    </xf>
    <xf numFmtId="49" fontId="56" fillId="2" borderId="6" xfId="0" applyNumberFormat="1" applyFont="1" applyFill="1" applyBorder="1" applyAlignment="1">
      <alignment horizontal="center" vertical="center" wrapText="1"/>
    </xf>
    <xf numFmtId="49" fontId="56" fillId="2" borderId="6" xfId="0" applyNumberFormat="1" applyFont="1" applyFill="1" applyBorder="1" applyAlignment="1">
      <alignment horizontal="left" vertical="center" wrapText="1"/>
    </xf>
    <xf numFmtId="4" fontId="56" fillId="2" borderId="6" xfId="0" applyNumberFormat="1" applyFont="1" applyFill="1" applyBorder="1" applyAlignment="1">
      <alignment horizontal="right" vertical="center" wrapText="1"/>
    </xf>
    <xf numFmtId="4" fontId="57" fillId="2" borderId="6" xfId="0" applyNumberFormat="1" applyFont="1" applyFill="1" applyBorder="1" applyAlignment="1">
      <alignment horizontal="right" vertical="center" wrapText="1"/>
    </xf>
    <xf numFmtId="0" fontId="22" fillId="2" borderId="0" xfId="0" applyFont="1" applyFill="1" applyBorder="1" applyAlignment="1">
      <alignment horizontal="right" vertical="center" wrapText="1"/>
    </xf>
    <xf numFmtId="0" fontId="23" fillId="0" borderId="0" xfId="0" applyFont="1" applyAlignment="1">
      <alignment horizontal="right"/>
    </xf>
    <xf numFmtId="0" fontId="27" fillId="0" borderId="1" xfId="0" applyFont="1" applyBorder="1"/>
    <xf numFmtId="43" fontId="27" fillId="0" borderId="1" xfId="1" applyFont="1" applyBorder="1" applyAlignment="1">
      <alignment horizontal="center"/>
    </xf>
    <xf numFmtId="43" fontId="27" fillId="0" borderId="1" xfId="1" applyFont="1" applyBorder="1"/>
    <xf numFmtId="43" fontId="27" fillId="0" borderId="1" xfId="1" applyFont="1" applyBorder="1" applyAlignment="1">
      <alignment horizontal="center" wrapText="1"/>
    </xf>
    <xf numFmtId="43" fontId="19" fillId="0" borderId="1" xfId="1" applyFont="1" applyBorder="1"/>
    <xf numFmtId="0" fontId="42" fillId="2" borderId="1" xfId="0" applyFont="1" applyFill="1" applyBorder="1" applyAlignment="1">
      <alignment horizontal="center" wrapText="1"/>
    </xf>
    <xf numFmtId="4" fontId="60" fillId="2" borderId="1" xfId="0" applyNumberFormat="1" applyFont="1" applyFill="1" applyBorder="1" applyAlignment="1">
      <alignment horizontal="right" wrapText="1"/>
    </xf>
    <xf numFmtId="0" fontId="42" fillId="2" borderId="1" xfId="0" applyFont="1" applyFill="1" applyBorder="1" applyAlignment="1">
      <alignment vertical="center" wrapText="1"/>
    </xf>
    <xf numFmtId="4" fontId="27" fillId="0" borderId="1" xfId="0" applyNumberFormat="1" applyFont="1" applyFill="1" applyBorder="1" applyAlignment="1">
      <alignment horizontal="right" wrapText="1"/>
    </xf>
    <xf numFmtId="49" fontId="22" fillId="2" borderId="0" xfId="0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wrapText="1"/>
    </xf>
    <xf numFmtId="43" fontId="25" fillId="0" borderId="5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20" fillId="0" borderId="14" xfId="0" applyFont="1" applyBorder="1" applyAlignment="1">
      <alignment vertical="center" wrapText="1"/>
    </xf>
    <xf numFmtId="0" fontId="22" fillId="0" borderId="21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49" fontId="14" fillId="0" borderId="14" xfId="0" applyNumberFormat="1" applyFont="1" applyBorder="1"/>
    <xf numFmtId="0" fontId="45" fillId="0" borderId="14" xfId="0" applyFont="1" applyBorder="1" applyAlignment="1">
      <alignment wrapText="1"/>
    </xf>
    <xf numFmtId="43" fontId="21" fillId="0" borderId="14" xfId="0" applyNumberFormat="1" applyFont="1" applyBorder="1" applyAlignment="1">
      <alignment horizontal="left"/>
    </xf>
    <xf numFmtId="43" fontId="21" fillId="0" borderId="19" xfId="0" applyNumberFormat="1" applyFont="1" applyBorder="1" applyAlignment="1">
      <alignment horizontal="left"/>
    </xf>
    <xf numFmtId="0" fontId="28" fillId="0" borderId="1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12" fillId="0" borderId="14" xfId="1" applyFont="1" applyBorder="1" applyAlignment="1">
      <alignment horizontal="center"/>
    </xf>
    <xf numFmtId="0" fontId="0" fillId="0" borderId="19" xfId="0" applyBorder="1" applyAlignment="1">
      <alignment horizontal="center"/>
    </xf>
    <xf numFmtId="43" fontId="12" fillId="0" borderId="1" xfId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21" fillId="0" borderId="21" xfId="0" applyFont="1" applyBorder="1"/>
    <xf numFmtId="43" fontId="21" fillId="0" borderId="21" xfId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32" fillId="0" borderId="1" xfId="0" applyFont="1" applyBorder="1" applyAlignment="1">
      <alignment wrapText="1"/>
    </xf>
    <xf numFmtId="49" fontId="20" fillId="0" borderId="5" xfId="0" applyNumberFormat="1" applyFont="1" applyBorder="1" applyAlignment="1">
      <alignment horizontal="center" wrapText="1"/>
    </xf>
    <xf numFmtId="49" fontId="20" fillId="0" borderId="1" xfId="0" applyNumberFormat="1" applyFont="1" applyBorder="1" applyAlignment="1">
      <alignment horizontal="center" wrapText="1"/>
    </xf>
    <xf numFmtId="43" fontId="32" fillId="0" borderId="5" xfId="0" applyNumberFormat="1" applyFont="1" applyBorder="1" applyAlignment="1">
      <alignment horizontal="center"/>
    </xf>
    <xf numFmtId="43" fontId="48" fillId="0" borderId="9" xfId="0" applyNumberFormat="1" applyFont="1" applyBorder="1" applyAlignment="1">
      <alignment horizontal="left"/>
    </xf>
    <xf numFmtId="0" fontId="0" fillId="0" borderId="32" xfId="0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43" fontId="62" fillId="0" borderId="1" xfId="0" applyNumberFormat="1" applyFont="1" applyBorder="1"/>
    <xf numFmtId="43" fontId="14" fillId="0" borderId="1" xfId="1" applyFont="1" applyBorder="1" applyAlignment="1">
      <alignment horizontal="right" wrapText="1"/>
    </xf>
    <xf numFmtId="0" fontId="14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43" fontId="14" fillId="0" borderId="1" xfId="1" applyFont="1" applyBorder="1" applyAlignment="1"/>
    <xf numFmtId="43" fontId="14" fillId="0" borderId="1" xfId="0" applyNumberFormat="1" applyFont="1" applyBorder="1" applyAlignment="1">
      <alignment horizontal="center" wrapText="1"/>
    </xf>
    <xf numFmtId="4" fontId="14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right"/>
    </xf>
    <xf numFmtId="43" fontId="21" fillId="0" borderId="1" xfId="1" applyFont="1" applyBorder="1" applyAlignment="1">
      <alignment horizontal="center"/>
    </xf>
    <xf numFmtId="43" fontId="43" fillId="0" borderId="1" xfId="1" applyNumberFormat="1" applyFont="1" applyBorder="1" applyAlignment="1">
      <alignment horizontal="center"/>
    </xf>
    <xf numFmtId="43" fontId="21" fillId="0" borderId="1" xfId="1" applyFont="1" applyBorder="1" applyAlignment="1">
      <alignment horizontal="center" wrapText="1"/>
    </xf>
    <xf numFmtId="43" fontId="21" fillId="0" borderId="1" xfId="0" applyNumberFormat="1" applyFont="1" applyBorder="1" applyAlignment="1">
      <alignment vertical="top"/>
    </xf>
    <xf numFmtId="43" fontId="14" fillId="0" borderId="1" xfId="0" applyNumberFormat="1" applyFont="1" applyBorder="1" applyAlignment="1">
      <alignment vertical="top"/>
    </xf>
    <xf numFmtId="43" fontId="21" fillId="0" borderId="1" xfId="0" applyNumberFormat="1" applyFont="1" applyBorder="1" applyAlignment="1"/>
    <xf numFmtId="4" fontId="21" fillId="0" borderId="6" xfId="0" applyNumberFormat="1" applyFont="1" applyBorder="1" applyAlignment="1">
      <alignment horizontal="right" wrapText="1"/>
    </xf>
    <xf numFmtId="43" fontId="21" fillId="0" borderId="6" xfId="1" applyFont="1" applyBorder="1" applyAlignment="1">
      <alignment horizontal="right" wrapText="1"/>
    </xf>
    <xf numFmtId="43" fontId="21" fillId="0" borderId="14" xfId="0" applyNumberFormat="1" applyFont="1" applyBorder="1"/>
    <xf numFmtId="49" fontId="15" fillId="0" borderId="5" xfId="0" applyNumberFormat="1" applyFont="1" applyBorder="1"/>
    <xf numFmtId="0" fontId="15" fillId="0" borderId="0" xfId="0" applyFont="1" applyAlignment="1">
      <alignment wrapText="1"/>
    </xf>
    <xf numFmtId="0" fontId="63" fillId="0" borderId="5" xfId="0" applyFont="1" applyBorder="1" applyAlignment="1">
      <alignment wrapText="1"/>
    </xf>
    <xf numFmtId="0" fontId="64" fillId="0" borderId="5" xfId="0" applyFont="1" applyBorder="1"/>
    <xf numFmtId="49" fontId="65" fillId="0" borderId="5" xfId="0" applyNumberFormat="1" applyFont="1" applyBorder="1" applyAlignment="1">
      <alignment horizontal="right"/>
    </xf>
    <xf numFmtId="0" fontId="65" fillId="0" borderId="5" xfId="0" applyFont="1" applyBorder="1"/>
    <xf numFmtId="43" fontId="66" fillId="0" borderId="5" xfId="0" applyNumberFormat="1" applyFont="1" applyBorder="1"/>
    <xf numFmtId="43" fontId="66" fillId="0" borderId="5" xfId="0" applyNumberFormat="1" applyFont="1" applyBorder="1" applyAlignment="1">
      <alignment horizontal="center"/>
    </xf>
    <xf numFmtId="0" fontId="67" fillId="0" borderId="21" xfId="0" applyFont="1" applyBorder="1"/>
    <xf numFmtId="164" fontId="22" fillId="0" borderId="1" xfId="0" applyNumberFormat="1" applyFont="1" applyBorder="1"/>
    <xf numFmtId="4" fontId="22" fillId="0" borderId="1" xfId="0" applyNumberFormat="1" applyFont="1" applyBorder="1"/>
    <xf numFmtId="4" fontId="18" fillId="0" borderId="1" xfId="0" applyNumberFormat="1" applyFont="1" applyBorder="1"/>
    <xf numFmtId="164" fontId="23" fillId="0" borderId="15" xfId="0" applyNumberFormat="1" applyFont="1" applyBorder="1" applyAlignment="1">
      <alignment vertical="center"/>
    </xf>
    <xf numFmtId="164" fontId="23" fillId="0" borderId="2" xfId="0" applyNumberFormat="1" applyFont="1" applyBorder="1" applyAlignment="1">
      <alignment vertical="center"/>
    </xf>
    <xf numFmtId="4" fontId="17" fillId="0" borderId="33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  <xf numFmtId="43" fontId="24" fillId="0" borderId="1" xfId="1" applyFont="1" applyBorder="1" applyAlignment="1">
      <alignment horizontal="right"/>
    </xf>
    <xf numFmtId="43" fontId="28" fillId="0" borderId="1" xfId="1" applyFont="1" applyBorder="1" applyAlignment="1">
      <alignment vertical="center"/>
    </xf>
    <xf numFmtId="49" fontId="22" fillId="0" borderId="5" xfId="0" applyNumberFormat="1" applyFont="1" applyBorder="1" applyAlignment="1">
      <alignment horizontal="right"/>
    </xf>
    <xf numFmtId="0" fontId="14" fillId="0" borderId="5" xfId="0" applyFont="1" applyBorder="1" applyAlignment="1">
      <alignment vertical="center" wrapText="1"/>
    </xf>
    <xf numFmtId="43" fontId="14" fillId="0" borderId="5" xfId="1" applyFont="1" applyBorder="1" applyAlignment="1">
      <alignment horizontal="center" wrapText="1"/>
    </xf>
    <xf numFmtId="0" fontId="28" fillId="0" borderId="21" xfId="0" applyFont="1" applyBorder="1" applyAlignment="1">
      <alignment horizontal="center"/>
    </xf>
    <xf numFmtId="0" fontId="28" fillId="0" borderId="21" xfId="0" applyFont="1" applyBorder="1" applyAlignment="1">
      <alignment horizontal="center" wrapText="1"/>
    </xf>
    <xf numFmtId="49" fontId="28" fillId="0" borderId="21" xfId="0" applyNumberFormat="1" applyFont="1" applyBorder="1" applyAlignment="1">
      <alignment horizontal="center" wrapText="1"/>
    </xf>
    <xf numFmtId="49" fontId="28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3" fontId="15" fillId="0" borderId="5" xfId="1" applyFont="1" applyBorder="1" applyAlignment="1">
      <alignment horizontal="center"/>
    </xf>
    <xf numFmtId="43" fontId="12" fillId="0" borderId="4" xfId="1" applyFont="1" applyBorder="1" applyAlignment="1">
      <alignment horizontal="center"/>
    </xf>
    <xf numFmtId="43" fontId="29" fillId="0" borderId="1" xfId="0" applyNumberFormat="1" applyFont="1" applyBorder="1" applyAlignment="1">
      <alignment horizontal="center" wrapText="1"/>
    </xf>
    <xf numFmtId="0" fontId="19" fillId="0" borderId="0" xfId="0" applyFont="1"/>
    <xf numFmtId="0" fontId="14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left"/>
    </xf>
    <xf numFmtId="4" fontId="10" fillId="0" borderId="0" xfId="0" applyNumberFormat="1" applyFont="1"/>
    <xf numFmtId="43" fontId="62" fillId="0" borderId="0" xfId="0" applyNumberFormat="1" applyFont="1"/>
    <xf numFmtId="4" fontId="62" fillId="0" borderId="0" xfId="0" applyNumberFormat="1" applyFont="1"/>
    <xf numFmtId="43" fontId="37" fillId="0" borderId="0" xfId="1" applyFont="1"/>
    <xf numFmtId="49" fontId="0" fillId="0" borderId="0" xfId="0" applyNumberFormat="1" applyAlignment="1"/>
    <xf numFmtId="43" fontId="62" fillId="0" borderId="0" xfId="1" applyFont="1" applyAlignment="1"/>
    <xf numFmtId="49" fontId="22" fillId="2" borderId="0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left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Border="1" applyAlignment="1">
      <alignment vertical="center"/>
    </xf>
    <xf numFmtId="0" fontId="24" fillId="0" borderId="0" xfId="0" applyNumberFormat="1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0" fontId="44" fillId="0" borderId="5" xfId="0" applyFont="1" applyBorder="1" applyAlignment="1">
      <alignment horizontal="center"/>
    </xf>
    <xf numFmtId="0" fontId="44" fillId="0" borderId="5" xfId="0" applyFont="1" applyBorder="1" applyAlignment="1">
      <alignment wrapText="1"/>
    </xf>
    <xf numFmtId="4" fontId="17" fillId="0" borderId="1" xfId="0" applyNumberFormat="1" applyFont="1" applyBorder="1" applyAlignment="1"/>
    <xf numFmtId="43" fontId="17" fillId="0" borderId="6" xfId="1" applyFont="1" applyBorder="1" applyAlignment="1">
      <alignment horizontal="right"/>
    </xf>
    <xf numFmtId="164" fontId="17" fillId="0" borderId="11" xfId="0" applyNumberFormat="1" applyFont="1" applyBorder="1" applyAlignment="1">
      <alignment horizontal="right" vertical="center"/>
    </xf>
    <xf numFmtId="43" fontId="14" fillId="0" borderId="1" xfId="1" applyFont="1" applyBorder="1" applyAlignment="1">
      <alignment vertical="center" wrapText="1"/>
    </xf>
    <xf numFmtId="0" fontId="45" fillId="0" borderId="20" xfId="0" applyFont="1" applyBorder="1" applyAlignment="1">
      <alignment wrapText="1"/>
    </xf>
    <xf numFmtId="4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164" fontId="17" fillId="0" borderId="27" xfId="0" applyNumberFormat="1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49" fontId="20" fillId="0" borderId="2" xfId="0" applyNumberFormat="1" applyFont="1" applyBorder="1" applyAlignment="1">
      <alignment horizontal="right" wrapText="1"/>
    </xf>
    <xf numFmtId="49" fontId="20" fillId="0" borderId="18" xfId="0" applyNumberFormat="1" applyFont="1" applyBorder="1" applyAlignment="1">
      <alignment horizontal="right" wrapText="1"/>
    </xf>
    <xf numFmtId="49" fontId="20" fillId="0" borderId="10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2" borderId="2" xfId="0" applyFont="1" applyFill="1" applyBorder="1" applyAlignment="1">
      <alignment horizontal="right" wrapText="1"/>
    </xf>
    <xf numFmtId="0" fontId="27" fillId="2" borderId="3" xfId="0" applyFont="1" applyFill="1" applyBorder="1" applyAlignment="1">
      <alignment horizontal="right" wrapText="1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49" fontId="20" fillId="2" borderId="1" xfId="0" applyNumberFormat="1" applyFont="1" applyFill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 wrapText="1"/>
    </xf>
    <xf numFmtId="49" fontId="28" fillId="2" borderId="20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B4" sqref="B4"/>
    </sheetView>
  </sheetViews>
  <sheetFormatPr defaultRowHeight="15" x14ac:dyDescent="0.25"/>
  <cols>
    <col min="1" max="1" width="5.7109375" style="10" customWidth="1"/>
    <col min="2" max="2" width="65.85546875" customWidth="1"/>
    <col min="3" max="3" width="32.7109375" customWidth="1"/>
    <col min="5" max="5" width="18" bestFit="1" customWidth="1"/>
    <col min="8" max="8" width="16.85546875" bestFit="1" customWidth="1"/>
  </cols>
  <sheetData>
    <row r="1" spans="1:8" ht="27.75" customHeight="1" x14ac:dyDescent="0.25">
      <c r="A1" s="620" t="s">
        <v>7</v>
      </c>
      <c r="B1" s="620"/>
      <c r="C1" s="620"/>
      <c r="D1" s="620"/>
    </row>
    <row r="2" spans="1:8" ht="30" customHeight="1" x14ac:dyDescent="0.25">
      <c r="A2" s="621" t="s">
        <v>1166</v>
      </c>
      <c r="B2" s="621"/>
      <c r="C2" s="621"/>
      <c r="D2" s="621"/>
    </row>
    <row r="3" spans="1:8" ht="22.5" customHeight="1" thickBot="1" x14ac:dyDescent="0.3">
      <c r="A3" s="94" t="s">
        <v>8</v>
      </c>
      <c r="B3" s="95"/>
      <c r="C3" s="95"/>
      <c r="D3" s="11"/>
    </row>
    <row r="4" spans="1:8" ht="27" customHeight="1" thickBot="1" x14ac:dyDescent="0.3">
      <c r="A4" s="96" t="s">
        <v>0</v>
      </c>
      <c r="B4" s="579" t="s">
        <v>9</v>
      </c>
      <c r="C4" s="580" t="s">
        <v>10</v>
      </c>
      <c r="D4" s="11"/>
    </row>
    <row r="5" spans="1:8" ht="30" customHeight="1" x14ac:dyDescent="0.25">
      <c r="A5" s="577">
        <v>1</v>
      </c>
      <c r="B5" s="103" t="s">
        <v>227</v>
      </c>
      <c r="C5" s="581">
        <v>0</v>
      </c>
      <c r="D5" s="11"/>
    </row>
    <row r="6" spans="1:8" ht="27" customHeight="1" x14ac:dyDescent="0.25">
      <c r="A6" s="578">
        <v>2</v>
      </c>
      <c r="B6" s="103" t="s">
        <v>11</v>
      </c>
      <c r="C6" s="104">
        <f>'Pooled fund personnel'!H10</f>
        <v>157548540</v>
      </c>
      <c r="D6" s="11"/>
      <c r="H6" s="4"/>
    </row>
    <row r="7" spans="1:8" ht="27" customHeight="1" x14ac:dyDescent="0.25">
      <c r="A7" s="577">
        <v>3</v>
      </c>
      <c r="B7" s="103" t="s">
        <v>12</v>
      </c>
      <c r="C7" s="104">
        <f>'Pooled Fund SP'!H46</f>
        <v>6115000000</v>
      </c>
      <c r="D7" s="11"/>
    </row>
    <row r="8" spans="1:8" ht="27" customHeight="1" x14ac:dyDescent="0.25">
      <c r="A8" s="578">
        <v>4</v>
      </c>
      <c r="B8" s="103" t="s">
        <v>1155</v>
      </c>
      <c r="C8" s="582">
        <f>C6+C7</f>
        <v>6272548540</v>
      </c>
      <c r="D8" s="11"/>
    </row>
    <row r="9" spans="1:8" ht="27" customHeight="1" x14ac:dyDescent="0.25">
      <c r="A9" s="577">
        <v>5</v>
      </c>
      <c r="B9" s="103" t="s">
        <v>272</v>
      </c>
      <c r="C9" s="104">
        <f>C15-C16</f>
        <v>4402334000</v>
      </c>
      <c r="D9" s="11"/>
    </row>
    <row r="10" spans="1:8" s="13" customFormat="1" ht="24" customHeight="1" x14ac:dyDescent="0.2">
      <c r="A10" s="578">
        <v>6</v>
      </c>
      <c r="B10" s="105" t="s">
        <v>4</v>
      </c>
      <c r="C10" s="105">
        <f>C9+C8</f>
        <v>10674882540</v>
      </c>
      <c r="D10" s="12"/>
    </row>
    <row r="11" spans="1:8" ht="24.75" customHeight="1" x14ac:dyDescent="0.25">
      <c r="A11" s="577">
        <v>7</v>
      </c>
      <c r="B11" s="103" t="s">
        <v>1143</v>
      </c>
      <c r="C11" s="105">
        <f>'summary Allo Pool fund recurent'!F41</f>
        <v>10674882540</v>
      </c>
      <c r="D11" s="11"/>
    </row>
    <row r="12" spans="1:8" x14ac:dyDescent="0.25">
      <c r="A12" s="106"/>
      <c r="B12" s="107"/>
      <c r="C12" s="107"/>
      <c r="D12" s="11"/>
    </row>
    <row r="13" spans="1:8" ht="23.25" customHeight="1" thickBot="1" x14ac:dyDescent="0.3">
      <c r="A13" s="94" t="s">
        <v>13</v>
      </c>
      <c r="B13" s="95"/>
      <c r="C13" s="95"/>
      <c r="D13" s="11"/>
    </row>
    <row r="14" spans="1:8" ht="27.75" customHeight="1" thickBot="1" x14ac:dyDescent="0.3">
      <c r="A14" s="96" t="s">
        <v>0</v>
      </c>
      <c r="B14" s="97" t="s">
        <v>9</v>
      </c>
      <c r="C14" s="98" t="s">
        <v>10</v>
      </c>
      <c r="D14" s="11"/>
      <c r="H14" s="4"/>
    </row>
    <row r="15" spans="1:8" ht="27" customHeight="1" x14ac:dyDescent="0.25">
      <c r="A15" s="99">
        <v>1</v>
      </c>
      <c r="B15" s="100" t="s">
        <v>14</v>
      </c>
      <c r="C15" s="101">
        <f>'Pooled Fund detail Capital'!H100</f>
        <v>9382899000</v>
      </c>
      <c r="D15" s="11"/>
    </row>
    <row r="16" spans="1:8" ht="26.25" customHeight="1" x14ac:dyDescent="0.25">
      <c r="A16" s="102">
        <v>2</v>
      </c>
      <c r="B16" s="100" t="s">
        <v>1144</v>
      </c>
      <c r="C16" s="108">
        <f>'Sumary Allo pooled fund capital'!D24</f>
        <v>4980565000</v>
      </c>
      <c r="D16" s="11"/>
      <c r="E16" s="3"/>
    </row>
    <row r="17" spans="1:5" x14ac:dyDescent="0.25">
      <c r="A17" s="574">
        <v>3</v>
      </c>
      <c r="B17" s="575" t="s">
        <v>1154</v>
      </c>
      <c r="C17" s="576">
        <f>C15-C16</f>
        <v>4402334000</v>
      </c>
      <c r="D17" s="11"/>
    </row>
    <row r="18" spans="1:5" x14ac:dyDescent="0.25">
      <c r="A18" s="8"/>
      <c r="B18" s="9"/>
      <c r="C18" s="9"/>
      <c r="D18" s="11"/>
      <c r="E18" s="3"/>
    </row>
    <row r="19" spans="1:5" ht="15.75" thickBot="1" x14ac:dyDescent="0.3">
      <c r="A19" s="622" t="s">
        <v>1164</v>
      </c>
      <c r="B19" s="622"/>
      <c r="C19" s="20"/>
      <c r="D19" s="11"/>
    </row>
    <row r="20" spans="1:5" ht="15.75" thickBot="1" x14ac:dyDescent="0.3">
      <c r="A20" s="615" t="s">
        <v>0</v>
      </c>
      <c r="B20" s="97" t="s">
        <v>1165</v>
      </c>
      <c r="C20" s="98" t="s">
        <v>10</v>
      </c>
      <c r="D20" s="11"/>
    </row>
    <row r="21" spans="1:5" x14ac:dyDescent="0.25">
      <c r="A21" s="99">
        <v>1</v>
      </c>
      <c r="B21" s="100" t="s">
        <v>1163</v>
      </c>
      <c r="C21" s="614">
        <f>C8+C15</f>
        <v>15655447540</v>
      </c>
      <c r="D21" s="11"/>
    </row>
    <row r="22" spans="1:5" x14ac:dyDescent="0.25">
      <c r="A22" s="102">
        <v>2</v>
      </c>
      <c r="B22" s="103" t="s">
        <v>1162</v>
      </c>
      <c r="C22" s="613">
        <f>C11+C16</f>
        <v>15655447540</v>
      </c>
      <c r="D22" s="11"/>
    </row>
    <row r="23" spans="1:5" x14ac:dyDescent="0.25">
      <c r="A23" s="608"/>
      <c r="B23" s="609">
        <v>1</v>
      </c>
      <c r="C23" s="610"/>
      <c r="D23" s="11"/>
    </row>
    <row r="24" spans="1:5" x14ac:dyDescent="0.25">
      <c r="A24" s="16"/>
      <c r="B24" s="609"/>
      <c r="C24" s="17"/>
      <c r="D24" s="11"/>
    </row>
    <row r="25" spans="1:5" x14ac:dyDescent="0.25">
      <c r="A25" s="16"/>
      <c r="B25" s="6"/>
      <c r="C25" s="6"/>
    </row>
    <row r="27" spans="1:5" x14ac:dyDescent="0.25">
      <c r="A27" s="16"/>
      <c r="B27" s="6"/>
      <c r="C27" s="6"/>
    </row>
    <row r="28" spans="1:5" ht="23.25" customHeight="1" x14ac:dyDescent="0.25">
      <c r="A28" s="618"/>
      <c r="B28" s="618"/>
      <c r="C28" s="618"/>
    </row>
    <row r="29" spans="1:5" ht="23.25" customHeight="1" x14ac:dyDescent="0.25">
      <c r="A29" s="619"/>
      <c r="B29" s="619"/>
      <c r="C29" s="619"/>
    </row>
    <row r="30" spans="1:5" ht="21.75" customHeight="1" x14ac:dyDescent="0.25">
      <c r="A30" s="8"/>
      <c r="B30" s="9"/>
      <c r="C30" s="9"/>
    </row>
    <row r="31" spans="1:5" ht="30" customHeight="1" x14ac:dyDescent="0.25">
      <c r="A31" s="19"/>
      <c r="B31" s="20"/>
      <c r="C31" s="20"/>
    </row>
    <row r="32" spans="1:5" ht="29.25" customHeight="1" x14ac:dyDescent="0.25">
      <c r="A32" s="14"/>
      <c r="B32" s="21"/>
      <c r="C32" s="22"/>
    </row>
    <row r="33" spans="1:4" ht="26.25" customHeight="1" x14ac:dyDescent="0.25">
      <c r="A33" s="14"/>
      <c r="B33" s="21"/>
      <c r="C33" s="23"/>
    </row>
    <row r="34" spans="1:4" ht="26.25" customHeight="1" x14ac:dyDescent="0.25">
      <c r="A34" s="14"/>
      <c r="B34" s="21"/>
      <c r="C34" s="24"/>
    </row>
    <row r="35" spans="1:4" ht="26.25" customHeight="1" x14ac:dyDescent="0.25">
      <c r="A35" s="19"/>
      <c r="B35" s="15"/>
      <c r="C35" s="15"/>
    </row>
    <row r="36" spans="1:4" x14ac:dyDescent="0.25">
      <c r="A36" s="14"/>
      <c r="B36" s="21"/>
      <c r="C36" s="15"/>
    </row>
    <row r="37" spans="1:4" x14ac:dyDescent="0.25">
      <c r="A37" s="16"/>
      <c r="B37" s="17"/>
      <c r="C37" s="18"/>
    </row>
    <row r="38" spans="1:4" x14ac:dyDescent="0.25">
      <c r="A38" s="16"/>
      <c r="B38" s="25"/>
      <c r="C38" s="6"/>
    </row>
    <row r="39" spans="1:4" x14ac:dyDescent="0.25">
      <c r="B39" s="26"/>
    </row>
    <row r="40" spans="1:4" x14ac:dyDescent="0.25">
      <c r="C40" s="11"/>
    </row>
    <row r="41" spans="1:4" x14ac:dyDescent="0.25">
      <c r="C41" s="11"/>
    </row>
    <row r="42" spans="1:4" x14ac:dyDescent="0.25">
      <c r="C42" s="11"/>
    </row>
    <row r="43" spans="1:4" x14ac:dyDescent="0.25">
      <c r="C43" s="11"/>
    </row>
    <row r="44" spans="1:4" x14ac:dyDescent="0.25">
      <c r="C44" s="11"/>
    </row>
    <row r="45" spans="1:4" x14ac:dyDescent="0.25">
      <c r="C45" s="11"/>
      <c r="D45" s="27"/>
    </row>
    <row r="46" spans="1:4" x14ac:dyDescent="0.25">
      <c r="C46" s="11"/>
      <c r="D46" s="27"/>
    </row>
    <row r="47" spans="1:4" x14ac:dyDescent="0.25">
      <c r="C47" s="11"/>
      <c r="D47" s="27"/>
    </row>
    <row r="48" spans="1:4" x14ac:dyDescent="0.25">
      <c r="C48" s="11"/>
      <c r="D48" s="27"/>
    </row>
    <row r="49" spans="2:4" x14ac:dyDescent="0.25">
      <c r="C49" s="11"/>
      <c r="D49" s="27"/>
    </row>
    <row r="50" spans="2:4" ht="25.5" customHeight="1" x14ac:dyDescent="0.25">
      <c r="C50" s="11"/>
      <c r="D50" s="27"/>
    </row>
    <row r="51" spans="2:4" ht="27" customHeight="1" x14ac:dyDescent="0.25">
      <c r="C51" s="11"/>
      <c r="D51" s="27"/>
    </row>
    <row r="52" spans="2:4" ht="32.25" customHeight="1" x14ac:dyDescent="0.25">
      <c r="D52" s="27"/>
    </row>
    <row r="53" spans="2:4" x14ac:dyDescent="0.25">
      <c r="B53" s="27"/>
      <c r="C53" s="27"/>
      <c r="D53" s="27"/>
    </row>
    <row r="54" spans="2:4" x14ac:dyDescent="0.25">
      <c r="B54" s="27"/>
      <c r="C54" s="27"/>
      <c r="D54" s="27"/>
    </row>
    <row r="55" spans="2:4" x14ac:dyDescent="0.25">
      <c r="B55" s="27"/>
      <c r="C55" s="27"/>
      <c r="D55" s="27"/>
    </row>
    <row r="56" spans="2:4" x14ac:dyDescent="0.25">
      <c r="B56" s="27"/>
      <c r="C56" s="27"/>
      <c r="D56" s="27"/>
    </row>
    <row r="57" spans="2:4" x14ac:dyDescent="0.25">
      <c r="B57" s="27"/>
      <c r="C57" s="27"/>
      <c r="D57" s="27"/>
    </row>
    <row r="58" spans="2:4" x14ac:dyDescent="0.25">
      <c r="B58" s="27"/>
      <c r="C58" s="27"/>
      <c r="D58" s="27"/>
    </row>
    <row r="59" spans="2:4" x14ac:dyDescent="0.25">
      <c r="B59" s="27"/>
      <c r="C59" s="27"/>
      <c r="D59" s="27"/>
    </row>
    <row r="60" spans="2:4" x14ac:dyDescent="0.25">
      <c r="B60" s="27"/>
      <c r="C60" s="27"/>
      <c r="D60" s="27"/>
    </row>
    <row r="61" spans="2:4" x14ac:dyDescent="0.25">
      <c r="B61" s="27"/>
      <c r="C61" s="27"/>
      <c r="D61" s="27"/>
    </row>
    <row r="62" spans="2:4" x14ac:dyDescent="0.25">
      <c r="B62" s="27"/>
      <c r="C62" s="27"/>
      <c r="D62" s="27"/>
    </row>
    <row r="63" spans="2:4" x14ac:dyDescent="0.25">
      <c r="B63" s="27"/>
      <c r="C63" s="27"/>
      <c r="D63" s="27"/>
    </row>
    <row r="64" spans="2:4" x14ac:dyDescent="0.25">
      <c r="B64" s="27"/>
      <c r="C64" s="27"/>
      <c r="D64" s="27"/>
    </row>
    <row r="65" spans="2:4" x14ac:dyDescent="0.25">
      <c r="B65" s="27"/>
      <c r="C65" s="27"/>
      <c r="D65" s="27"/>
    </row>
    <row r="66" spans="2:4" x14ac:dyDescent="0.25">
      <c r="B66" s="27"/>
      <c r="C66" s="27"/>
      <c r="D66" s="27"/>
    </row>
    <row r="67" spans="2:4" x14ac:dyDescent="0.25">
      <c r="B67" s="27"/>
      <c r="C67" s="27"/>
      <c r="D67" s="27"/>
    </row>
    <row r="68" spans="2:4" x14ac:dyDescent="0.25">
      <c r="B68" s="27"/>
      <c r="C68" s="27"/>
      <c r="D68" s="27"/>
    </row>
    <row r="69" spans="2:4" x14ac:dyDescent="0.25">
      <c r="B69" s="27"/>
      <c r="C69" s="27"/>
      <c r="D69" s="27"/>
    </row>
    <row r="70" spans="2:4" x14ac:dyDescent="0.25">
      <c r="B70" s="27"/>
      <c r="C70" s="27"/>
      <c r="D70" s="27"/>
    </row>
    <row r="71" spans="2:4" x14ac:dyDescent="0.25">
      <c r="B71" s="27"/>
      <c r="C71" s="27"/>
      <c r="D71" s="27"/>
    </row>
    <row r="72" spans="2:4" x14ac:dyDescent="0.25">
      <c r="B72" s="27"/>
      <c r="C72" s="27"/>
      <c r="D72" s="27"/>
    </row>
    <row r="73" spans="2:4" x14ac:dyDescent="0.25">
      <c r="B73" s="27"/>
      <c r="C73" s="27"/>
      <c r="D73" s="27"/>
    </row>
    <row r="74" spans="2:4" x14ac:dyDescent="0.25">
      <c r="B74" s="27"/>
      <c r="C74" s="27"/>
      <c r="D74" s="27"/>
    </row>
    <row r="75" spans="2:4" x14ac:dyDescent="0.25">
      <c r="B75" s="27"/>
      <c r="C75" s="27"/>
      <c r="D75" s="27"/>
    </row>
    <row r="76" spans="2:4" x14ac:dyDescent="0.25">
      <c r="B76" s="27"/>
      <c r="C76" s="27"/>
      <c r="D76" s="27"/>
    </row>
    <row r="77" spans="2:4" x14ac:dyDescent="0.25">
      <c r="B77" s="27"/>
      <c r="C77" s="27"/>
      <c r="D77" s="27"/>
    </row>
    <row r="78" spans="2:4" x14ac:dyDescent="0.25">
      <c r="B78" s="27"/>
      <c r="C78" s="27"/>
      <c r="D78" s="27"/>
    </row>
    <row r="79" spans="2:4" x14ac:dyDescent="0.25">
      <c r="B79" s="27"/>
      <c r="C79" s="27"/>
      <c r="D79" s="27"/>
    </row>
    <row r="80" spans="2:4" x14ac:dyDescent="0.25">
      <c r="B80" s="27"/>
      <c r="C80" s="27"/>
      <c r="D80" s="27"/>
    </row>
    <row r="81" spans="2:4" x14ac:dyDescent="0.25">
      <c r="B81" s="27"/>
      <c r="C81" s="27"/>
      <c r="D81" s="27"/>
    </row>
    <row r="82" spans="2:4" x14ac:dyDescent="0.25">
      <c r="B82" s="27"/>
      <c r="C82" s="27"/>
      <c r="D82" s="27"/>
    </row>
    <row r="83" spans="2:4" x14ac:dyDescent="0.25">
      <c r="B83" s="27"/>
      <c r="C83" s="27"/>
      <c r="D83" s="27"/>
    </row>
    <row r="84" spans="2:4" x14ac:dyDescent="0.25">
      <c r="B84" s="27"/>
      <c r="C84" s="27"/>
      <c r="D84" s="27"/>
    </row>
    <row r="85" spans="2:4" x14ac:dyDescent="0.25">
      <c r="B85" s="27"/>
      <c r="C85" s="27"/>
      <c r="D85" s="27"/>
    </row>
    <row r="86" spans="2:4" x14ac:dyDescent="0.25">
      <c r="B86" s="27"/>
      <c r="C86" s="27"/>
      <c r="D86" s="27"/>
    </row>
    <row r="87" spans="2:4" x14ac:dyDescent="0.25">
      <c r="B87" s="27"/>
      <c r="C87" s="27"/>
      <c r="D87" s="27"/>
    </row>
    <row r="88" spans="2:4" x14ac:dyDescent="0.25">
      <c r="B88" s="27"/>
      <c r="C88" s="27"/>
      <c r="D88" s="27"/>
    </row>
    <row r="89" spans="2:4" x14ac:dyDescent="0.25">
      <c r="B89" s="27"/>
      <c r="C89" s="27"/>
      <c r="D89" s="27"/>
    </row>
    <row r="90" spans="2:4" x14ac:dyDescent="0.25">
      <c r="B90" s="27"/>
      <c r="C90" s="27"/>
      <c r="D90" s="27"/>
    </row>
  </sheetData>
  <mergeCells count="5">
    <mergeCell ref="A28:C28"/>
    <mergeCell ref="A29:C29"/>
    <mergeCell ref="A1:D1"/>
    <mergeCell ref="A2:D2"/>
    <mergeCell ref="A19:B19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5" workbookViewId="0">
      <selection activeCell="E19" sqref="E19"/>
    </sheetView>
  </sheetViews>
  <sheetFormatPr defaultRowHeight="15" x14ac:dyDescent="0.25"/>
  <cols>
    <col min="1" max="1" width="5.140625" style="68" customWidth="1"/>
    <col min="2" max="2" width="48.5703125" style="68" customWidth="1"/>
    <col min="3" max="3" width="15.42578125" style="68" hidden="1" customWidth="1"/>
    <col min="4" max="4" width="24.7109375" style="68" customWidth="1"/>
    <col min="5" max="5" width="27.140625" style="68" customWidth="1"/>
    <col min="6" max="9" width="9.140625" style="68"/>
    <col min="10" max="10" width="15" style="68" bestFit="1" customWidth="1"/>
    <col min="11" max="16384" width="9.140625" style="68"/>
  </cols>
  <sheetData>
    <row r="1" spans="1:10" ht="18.75" customHeight="1" x14ac:dyDescent="0.25">
      <c r="B1" s="633" t="s">
        <v>167</v>
      </c>
      <c r="C1" s="633"/>
      <c r="D1" s="633"/>
      <c r="E1" s="633"/>
      <c r="F1" s="633"/>
    </row>
    <row r="2" spans="1:10" ht="18.75" customHeight="1" x14ac:dyDescent="0.25">
      <c r="B2" s="633" t="s">
        <v>277</v>
      </c>
      <c r="C2" s="633"/>
      <c r="D2" s="633"/>
      <c r="E2" s="633"/>
      <c r="F2" s="633"/>
    </row>
    <row r="3" spans="1:10" ht="15.75" x14ac:dyDescent="0.25">
      <c r="B3" s="394"/>
      <c r="C3" s="394"/>
      <c r="D3" s="394"/>
      <c r="E3" s="394"/>
      <c r="F3" s="394"/>
    </row>
    <row r="4" spans="1:10" x14ac:dyDescent="0.25">
      <c r="B4" s="625" t="s">
        <v>1131</v>
      </c>
      <c r="C4" s="625"/>
      <c r="D4" s="625"/>
      <c r="E4" s="625"/>
      <c r="F4" s="625"/>
    </row>
    <row r="5" spans="1:10" ht="31.5" x14ac:dyDescent="0.25">
      <c r="A5" s="508" t="s">
        <v>0</v>
      </c>
      <c r="B5" s="509" t="s">
        <v>243</v>
      </c>
      <c r="C5" s="510" t="s">
        <v>1114</v>
      </c>
      <c r="D5" s="511" t="s">
        <v>1115</v>
      </c>
      <c r="E5" s="511" t="s">
        <v>1116</v>
      </c>
      <c r="F5" s="392"/>
    </row>
    <row r="6" spans="1:10" ht="15.75" x14ac:dyDescent="0.25">
      <c r="A6" s="179">
        <v>1</v>
      </c>
      <c r="B6" s="512" t="s">
        <v>238</v>
      </c>
      <c r="C6" s="512" t="s">
        <v>1117</v>
      </c>
      <c r="D6" s="512">
        <v>179671147.08000001</v>
      </c>
      <c r="E6" s="512">
        <v>179671147.07999998</v>
      </c>
    </row>
    <row r="7" spans="1:10" ht="15.75" x14ac:dyDescent="0.25">
      <c r="A7" s="179">
        <v>2</v>
      </c>
      <c r="B7" s="512" t="s">
        <v>166</v>
      </c>
      <c r="C7" s="512" t="s">
        <v>1118</v>
      </c>
      <c r="D7" s="512">
        <v>734327940.96000004</v>
      </c>
      <c r="E7" s="512">
        <v>734327940.96000004</v>
      </c>
    </row>
    <row r="8" spans="1:10" ht="15.75" x14ac:dyDescent="0.25">
      <c r="A8" s="179">
        <v>3</v>
      </c>
      <c r="B8" s="512" t="s">
        <v>239</v>
      </c>
      <c r="C8" s="512" t="s">
        <v>1117</v>
      </c>
      <c r="D8" s="512">
        <v>41331500.880000003</v>
      </c>
      <c r="E8" s="512">
        <v>41331500.880000003</v>
      </c>
      <c r="J8" s="11"/>
    </row>
    <row r="9" spans="1:10" ht="15.75" x14ac:dyDescent="0.25">
      <c r="A9" s="179">
        <v>4</v>
      </c>
      <c r="B9" s="512" t="s">
        <v>240</v>
      </c>
      <c r="C9" s="512" t="s">
        <v>1117</v>
      </c>
      <c r="D9" s="512">
        <v>1416000000</v>
      </c>
      <c r="E9" s="512">
        <v>1416000000</v>
      </c>
      <c r="J9" s="11"/>
    </row>
    <row r="10" spans="1:10" ht="15.75" x14ac:dyDescent="0.25">
      <c r="A10" s="179">
        <v>5</v>
      </c>
      <c r="B10" s="512" t="s">
        <v>241</v>
      </c>
      <c r="C10" s="512" t="s">
        <v>1119</v>
      </c>
      <c r="D10" s="512">
        <v>7360447136.3999996</v>
      </c>
      <c r="E10" s="512">
        <v>4200000000</v>
      </c>
      <c r="J10" s="107"/>
    </row>
    <row r="11" spans="1:10" ht="15.75" x14ac:dyDescent="0.25">
      <c r="A11" s="179">
        <v>6</v>
      </c>
      <c r="B11" s="512" t="s">
        <v>1120</v>
      </c>
      <c r="C11" s="512" t="s">
        <v>1121</v>
      </c>
      <c r="D11" s="512">
        <v>291378512.45999998</v>
      </c>
      <c r="E11" s="512">
        <v>172180000</v>
      </c>
    </row>
    <row r="12" spans="1:10" ht="15.75" x14ac:dyDescent="0.25">
      <c r="A12" s="179">
        <v>7</v>
      </c>
      <c r="B12" s="512" t="s">
        <v>242</v>
      </c>
      <c r="C12" s="512" t="s">
        <v>1122</v>
      </c>
      <c r="D12" s="512">
        <v>3576721846.8499999</v>
      </c>
      <c r="E12" s="512">
        <v>1625782657.6600001</v>
      </c>
    </row>
    <row r="13" spans="1:10" ht="15.75" x14ac:dyDescent="0.25">
      <c r="A13" s="179">
        <v>8</v>
      </c>
      <c r="B13" s="512" t="s">
        <v>1123</v>
      </c>
      <c r="C13" s="512" t="s">
        <v>1124</v>
      </c>
      <c r="D13" s="512"/>
      <c r="E13" s="512">
        <v>300525162.36000001</v>
      </c>
      <c r="J13" s="107"/>
    </row>
    <row r="14" spans="1:10" ht="15.75" x14ac:dyDescent="0.25">
      <c r="A14" s="179">
        <v>9</v>
      </c>
      <c r="B14" s="512" t="s">
        <v>1125</v>
      </c>
      <c r="C14" s="512" t="s">
        <v>1126</v>
      </c>
      <c r="D14" s="512"/>
      <c r="E14" s="512">
        <v>124999999.98</v>
      </c>
    </row>
    <row r="15" spans="1:10" ht="15.75" x14ac:dyDescent="0.25">
      <c r="A15" s="179">
        <v>10</v>
      </c>
      <c r="B15" s="512" t="s">
        <v>1127</v>
      </c>
      <c r="C15" s="512" t="s">
        <v>1128</v>
      </c>
      <c r="D15" s="512"/>
      <c r="E15" s="512">
        <v>250000000.02000001</v>
      </c>
    </row>
    <row r="16" spans="1:10" ht="15.75" x14ac:dyDescent="0.25">
      <c r="A16" s="179">
        <v>11</v>
      </c>
      <c r="B16" s="512" t="s">
        <v>1129</v>
      </c>
      <c r="C16" s="512" t="s">
        <v>1126</v>
      </c>
      <c r="D16" s="512"/>
      <c r="E16" s="512">
        <v>350000000</v>
      </c>
    </row>
    <row r="17" spans="1:5" ht="15.75" x14ac:dyDescent="0.25">
      <c r="A17" s="179">
        <v>12</v>
      </c>
      <c r="B17" s="512" t="s">
        <v>1123</v>
      </c>
      <c r="C17" s="512" t="s">
        <v>1118</v>
      </c>
      <c r="D17" s="512"/>
      <c r="E17" s="512">
        <v>698718521.15999997</v>
      </c>
    </row>
    <row r="18" spans="1:5" ht="15.75" x14ac:dyDescent="0.25">
      <c r="A18" s="179">
        <v>13</v>
      </c>
      <c r="B18" s="512" t="s">
        <v>1130</v>
      </c>
      <c r="C18" s="512" t="s">
        <v>1118</v>
      </c>
      <c r="D18" s="512"/>
      <c r="E18" s="512">
        <v>702000000</v>
      </c>
    </row>
    <row r="19" spans="1:5" ht="15.75" x14ac:dyDescent="0.25">
      <c r="A19" s="179"/>
      <c r="B19" s="509" t="s">
        <v>38</v>
      </c>
      <c r="C19" s="510"/>
      <c r="D19" s="510">
        <f>SUM(D6:D18)</f>
        <v>13599878084.629999</v>
      </c>
      <c r="E19" s="510">
        <v>10369293247.58</v>
      </c>
    </row>
    <row r="24" spans="1:5" x14ac:dyDescent="0.25">
      <c r="B24" s="632"/>
      <c r="C24" s="632"/>
      <c r="D24" s="632"/>
      <c r="E24" s="632"/>
    </row>
    <row r="31" spans="1:5" x14ac:dyDescent="0.25">
      <c r="B31" s="507" t="s">
        <v>1160</v>
      </c>
    </row>
    <row r="33" spans="2:2" x14ac:dyDescent="0.25">
      <c r="B33" s="507"/>
    </row>
    <row r="34" spans="2:2" x14ac:dyDescent="0.25">
      <c r="B34" s="507"/>
    </row>
  </sheetData>
  <mergeCells count="4">
    <mergeCell ref="B24:E24"/>
    <mergeCell ref="B1:F1"/>
    <mergeCell ref="B2:F2"/>
    <mergeCell ref="B4:F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5" sqref="D15"/>
    </sheetView>
  </sheetViews>
  <sheetFormatPr defaultRowHeight="15" x14ac:dyDescent="0.25"/>
  <cols>
    <col min="1" max="1" width="4.5703125" customWidth="1"/>
    <col min="2" max="2" width="45.42578125" customWidth="1"/>
    <col min="3" max="3" width="28.5703125" customWidth="1"/>
    <col min="4" max="4" width="30.28515625" customWidth="1"/>
  </cols>
  <sheetData>
    <row r="1" spans="1:4" x14ac:dyDescent="0.25">
      <c r="A1" s="53"/>
    </row>
    <row r="2" spans="1:4" ht="22.5" customHeight="1" x14ac:dyDescent="0.25">
      <c r="A2" s="633" t="s">
        <v>167</v>
      </c>
      <c r="B2" s="633"/>
      <c r="C2" s="633"/>
      <c r="D2" s="633"/>
    </row>
    <row r="3" spans="1:4" ht="15.75" x14ac:dyDescent="0.25">
      <c r="A3" s="636" t="s">
        <v>278</v>
      </c>
      <c r="B3" s="636"/>
      <c r="C3" s="636"/>
      <c r="D3" s="636"/>
    </row>
    <row r="4" spans="1:4" ht="15.75" x14ac:dyDescent="0.25">
      <c r="A4" s="234"/>
      <c r="B4" s="234"/>
      <c r="C4" s="234"/>
      <c r="D4" s="234"/>
    </row>
    <row r="5" spans="1:4" ht="15.75" x14ac:dyDescent="0.25">
      <c r="A5" s="637" t="s">
        <v>274</v>
      </c>
      <c r="B5" s="637"/>
      <c r="C5" s="637"/>
      <c r="D5" s="637"/>
    </row>
    <row r="6" spans="1:4" ht="66.75" customHeight="1" x14ac:dyDescent="0.25">
      <c r="A6" s="54"/>
      <c r="B6" s="54" t="s">
        <v>154</v>
      </c>
      <c r="C6" s="220" t="s">
        <v>1133</v>
      </c>
      <c r="D6" s="220" t="s">
        <v>1134</v>
      </c>
    </row>
    <row r="7" spans="1:4" ht="32.25" customHeight="1" x14ac:dyDescent="0.3">
      <c r="A7" s="513">
        <v>1</v>
      </c>
      <c r="B7" s="515" t="s">
        <v>168</v>
      </c>
      <c r="C7" s="514">
        <v>6212636800</v>
      </c>
      <c r="D7" s="514">
        <v>7068537435.3999996</v>
      </c>
    </row>
    <row r="8" spans="1:4" ht="57.75" customHeight="1" x14ac:dyDescent="0.3">
      <c r="A8" s="513">
        <v>2</v>
      </c>
      <c r="B8" s="515" t="s">
        <v>1132</v>
      </c>
      <c r="C8" s="514">
        <v>2093364678.3</v>
      </c>
      <c r="D8" s="514">
        <v>2500000000</v>
      </c>
    </row>
    <row r="9" spans="1:4" ht="23.1" customHeight="1" x14ac:dyDescent="0.25">
      <c r="A9" s="634" t="s">
        <v>3</v>
      </c>
      <c r="B9" s="635"/>
      <c r="C9" s="516">
        <f>SUM(C7:C8)</f>
        <v>8306001478.3000002</v>
      </c>
      <c r="D9" s="516">
        <f>SUM(D7:D8)</f>
        <v>9568537435.3999996</v>
      </c>
    </row>
    <row r="25" spans="3:3" x14ac:dyDescent="0.25">
      <c r="C25" s="68" t="s">
        <v>145</v>
      </c>
    </row>
  </sheetData>
  <mergeCells count="4">
    <mergeCell ref="A9:B9"/>
    <mergeCell ref="A2:D2"/>
    <mergeCell ref="A3:D3"/>
    <mergeCell ref="A5:D5"/>
  </mergeCells>
  <pageMargins left="0.8" right="0.5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opLeftCell="A73" workbookViewId="0">
      <selection activeCell="F79" sqref="F79"/>
    </sheetView>
  </sheetViews>
  <sheetFormatPr defaultRowHeight="15" x14ac:dyDescent="0.25"/>
  <cols>
    <col min="1" max="1" width="4" style="458" bestFit="1" customWidth="1"/>
    <col min="2" max="2" width="12" style="458" bestFit="1" customWidth="1"/>
    <col min="3" max="3" width="51.7109375" style="458" customWidth="1"/>
    <col min="4" max="4" width="17.42578125" customWidth="1"/>
    <col min="5" max="5" width="15.140625" customWidth="1"/>
    <col min="6" max="6" width="15.42578125" customWidth="1"/>
    <col min="7" max="7" width="15.85546875" customWidth="1"/>
    <col min="9" max="9" width="17.5703125" bestFit="1" customWidth="1"/>
  </cols>
  <sheetData>
    <row r="1" spans="1:7" x14ac:dyDescent="0.25">
      <c r="A1" s="639" t="s">
        <v>745</v>
      </c>
      <c r="B1" s="639"/>
      <c r="C1" s="639"/>
      <c r="D1" s="639"/>
      <c r="E1" s="639"/>
      <c r="F1" s="639"/>
      <c r="G1" s="639"/>
    </row>
    <row r="2" spans="1:7" x14ac:dyDescent="0.25">
      <c r="A2" s="639" t="s">
        <v>746</v>
      </c>
      <c r="B2" s="639"/>
      <c r="C2" s="639"/>
      <c r="D2" s="639"/>
      <c r="E2" s="639"/>
      <c r="F2" s="639"/>
      <c r="G2" s="639"/>
    </row>
    <row r="3" spans="1:7" x14ac:dyDescent="0.25">
      <c r="A3" s="639" t="s">
        <v>1167</v>
      </c>
      <c r="B3" s="639"/>
      <c r="C3" s="639"/>
      <c r="D3" s="639"/>
      <c r="E3" s="639"/>
      <c r="F3" s="639"/>
      <c r="G3" s="639"/>
    </row>
    <row r="4" spans="1:7" x14ac:dyDescent="0.25">
      <c r="A4" s="639" t="s">
        <v>143</v>
      </c>
      <c r="B4" s="639"/>
      <c r="C4" s="639"/>
      <c r="D4" s="639"/>
      <c r="E4" s="639"/>
      <c r="F4" s="639"/>
      <c r="G4" s="639"/>
    </row>
    <row r="5" spans="1:7" ht="25.5" x14ac:dyDescent="0.25">
      <c r="A5" s="438" t="s">
        <v>0</v>
      </c>
      <c r="B5" s="438" t="s">
        <v>747</v>
      </c>
      <c r="C5" s="438" t="s">
        <v>748</v>
      </c>
      <c r="D5" s="439" t="s">
        <v>749</v>
      </c>
      <c r="E5" s="439" t="s">
        <v>750</v>
      </c>
      <c r="F5" s="439" t="s">
        <v>751</v>
      </c>
      <c r="G5" s="439" t="s">
        <v>3</v>
      </c>
    </row>
    <row r="6" spans="1:7" ht="18.75" customHeight="1" x14ac:dyDescent="0.25">
      <c r="A6" s="440" t="s">
        <v>155</v>
      </c>
      <c r="B6" s="465" t="s">
        <v>752</v>
      </c>
      <c r="C6" s="466" t="s">
        <v>39</v>
      </c>
      <c r="D6" s="467">
        <v>182801719.22999999</v>
      </c>
      <c r="E6" s="467">
        <v>420000000</v>
      </c>
      <c r="F6" s="467">
        <f>2188000000+'Details SP'!G214-'Details SP'!F214</f>
        <v>1744000000</v>
      </c>
      <c r="G6" s="463">
        <f t="shared" ref="G6:G28" si="0">SUM(D6:F6)</f>
        <v>2346801719.23</v>
      </c>
    </row>
    <row r="7" spans="1:7" ht="20.25" customHeight="1" x14ac:dyDescent="0.25">
      <c r="A7" s="440" t="s">
        <v>156</v>
      </c>
      <c r="B7" s="440" t="s">
        <v>753</v>
      </c>
      <c r="C7" s="441" t="s">
        <v>40</v>
      </c>
      <c r="D7" s="442">
        <v>42573478.130000003</v>
      </c>
      <c r="E7" s="442">
        <v>250000000</v>
      </c>
      <c r="F7" s="442">
        <v>250000000</v>
      </c>
      <c r="G7" s="443">
        <f t="shared" si="0"/>
        <v>542573478.13</v>
      </c>
    </row>
    <row r="8" spans="1:7" ht="15" customHeight="1" x14ac:dyDescent="0.25">
      <c r="A8" s="440" t="s">
        <v>157</v>
      </c>
      <c r="B8" s="465" t="s">
        <v>754</v>
      </c>
      <c r="C8" s="466" t="s">
        <v>159</v>
      </c>
      <c r="D8" s="469">
        <v>0</v>
      </c>
      <c r="E8" s="467">
        <f>54000000+'Details SP'!G23</f>
        <v>84000000</v>
      </c>
      <c r="F8" s="469">
        <v>0</v>
      </c>
      <c r="G8" s="468">
        <f t="shared" si="0"/>
        <v>84000000</v>
      </c>
    </row>
    <row r="9" spans="1:7" x14ac:dyDescent="0.25">
      <c r="A9" s="440" t="s">
        <v>20</v>
      </c>
      <c r="B9" s="440" t="s">
        <v>755</v>
      </c>
      <c r="C9" s="441" t="s">
        <v>244</v>
      </c>
      <c r="D9" s="444">
        <v>0</v>
      </c>
      <c r="E9" s="442">
        <v>45000000</v>
      </c>
      <c r="F9" s="444">
        <v>0</v>
      </c>
      <c r="G9" s="443">
        <f t="shared" si="0"/>
        <v>45000000</v>
      </c>
    </row>
    <row r="10" spans="1:7" x14ac:dyDescent="0.25">
      <c r="A10" s="440" t="s">
        <v>158</v>
      </c>
      <c r="B10" s="440" t="s">
        <v>756</v>
      </c>
      <c r="C10" s="441" t="s">
        <v>41</v>
      </c>
      <c r="D10" s="444">
        <v>0</v>
      </c>
      <c r="E10" s="442">
        <v>4100000</v>
      </c>
      <c r="F10" s="442">
        <v>18000000</v>
      </c>
      <c r="G10" s="443">
        <f t="shared" si="0"/>
        <v>22100000</v>
      </c>
    </row>
    <row r="11" spans="1:7" x14ac:dyDescent="0.25">
      <c r="A11" s="440" t="s">
        <v>21</v>
      </c>
      <c r="B11" s="440" t="s">
        <v>757</v>
      </c>
      <c r="C11" s="441" t="s">
        <v>758</v>
      </c>
      <c r="D11" s="444">
        <v>0</v>
      </c>
      <c r="E11" s="442">
        <v>15000000</v>
      </c>
      <c r="F11" s="444">
        <v>0</v>
      </c>
      <c r="G11" s="443">
        <f t="shared" si="0"/>
        <v>15000000</v>
      </c>
    </row>
    <row r="12" spans="1:7" ht="15.75" customHeight="1" x14ac:dyDescent="0.25">
      <c r="A12" s="440" t="s">
        <v>22</v>
      </c>
      <c r="B12" s="440" t="s">
        <v>759</v>
      </c>
      <c r="C12" s="441" t="s">
        <v>103</v>
      </c>
      <c r="D12" s="444">
        <v>0</v>
      </c>
      <c r="E12" s="442">
        <v>12000000</v>
      </c>
      <c r="F12" s="444">
        <v>0</v>
      </c>
      <c r="G12" s="443">
        <f t="shared" si="0"/>
        <v>12000000</v>
      </c>
    </row>
    <row r="13" spans="1:7" x14ac:dyDescent="0.25">
      <c r="A13" s="440" t="s">
        <v>760</v>
      </c>
      <c r="B13" s="465" t="s">
        <v>761</v>
      </c>
      <c r="C13" s="466" t="s">
        <v>25</v>
      </c>
      <c r="D13" s="467">
        <v>95613823.689999998</v>
      </c>
      <c r="E13" s="467">
        <v>17000000</v>
      </c>
      <c r="F13" s="467">
        <f>200000000+'Details SP'!G231</f>
        <v>228000000</v>
      </c>
      <c r="G13" s="468">
        <f t="shared" si="0"/>
        <v>340613823.69</v>
      </c>
    </row>
    <row r="14" spans="1:7" x14ac:dyDescent="0.25">
      <c r="A14" s="440" t="s">
        <v>30</v>
      </c>
      <c r="B14" s="465" t="s">
        <v>762</v>
      </c>
      <c r="C14" s="466" t="s">
        <v>104</v>
      </c>
      <c r="D14" s="467">
        <v>62789204.390000001</v>
      </c>
      <c r="E14" s="467">
        <f>8000000+'Details SP'!G47</f>
        <v>10500000</v>
      </c>
      <c r="F14" s="467">
        <f>945000000-'Details SP'!F271</f>
        <v>830000000</v>
      </c>
      <c r="G14" s="468">
        <f t="shared" si="0"/>
        <v>903289204.38999999</v>
      </c>
    </row>
    <row r="15" spans="1:7" x14ac:dyDescent="0.25">
      <c r="A15" s="440" t="s">
        <v>763</v>
      </c>
      <c r="B15" s="440" t="s">
        <v>764</v>
      </c>
      <c r="C15" s="441" t="s">
        <v>105</v>
      </c>
      <c r="D15" s="442">
        <v>67528731.760000005</v>
      </c>
      <c r="E15" s="442">
        <v>16000000</v>
      </c>
      <c r="F15" s="442">
        <v>30000000</v>
      </c>
      <c r="G15" s="443">
        <f t="shared" si="0"/>
        <v>113528731.76000001</v>
      </c>
    </row>
    <row r="16" spans="1:7" ht="30" customHeight="1" x14ac:dyDescent="0.25">
      <c r="A16" s="440" t="s">
        <v>765</v>
      </c>
      <c r="B16" s="440" t="s">
        <v>766</v>
      </c>
      <c r="C16" s="441" t="s">
        <v>504</v>
      </c>
      <c r="D16" s="444">
        <v>0</v>
      </c>
      <c r="E16" s="442">
        <v>7600000</v>
      </c>
      <c r="F16" s="444">
        <v>0</v>
      </c>
      <c r="G16" s="443">
        <f t="shared" si="0"/>
        <v>7600000</v>
      </c>
    </row>
    <row r="17" spans="1:7" x14ac:dyDescent="0.25">
      <c r="A17" s="440" t="s">
        <v>767</v>
      </c>
      <c r="B17" s="440" t="s">
        <v>768</v>
      </c>
      <c r="C17" s="441" t="s">
        <v>43</v>
      </c>
      <c r="D17" s="442">
        <v>13814592.560000001</v>
      </c>
      <c r="E17" s="442">
        <v>14000000</v>
      </c>
      <c r="F17" s="442">
        <v>93000000</v>
      </c>
      <c r="G17" s="443">
        <f t="shared" si="0"/>
        <v>120814592.56</v>
      </c>
    </row>
    <row r="18" spans="1:7" x14ac:dyDescent="0.25">
      <c r="A18" s="440" t="s">
        <v>769</v>
      </c>
      <c r="B18" s="440" t="s">
        <v>770</v>
      </c>
      <c r="C18" s="441" t="s">
        <v>44</v>
      </c>
      <c r="D18" s="442">
        <v>27113811.199999999</v>
      </c>
      <c r="E18" s="442">
        <v>15000000</v>
      </c>
      <c r="F18" s="442">
        <v>35000000</v>
      </c>
      <c r="G18" s="443">
        <f t="shared" si="0"/>
        <v>77113811.200000003</v>
      </c>
    </row>
    <row r="19" spans="1:7" ht="25.5" x14ac:dyDescent="0.25">
      <c r="A19" s="440" t="s">
        <v>771</v>
      </c>
      <c r="B19" s="440" t="s">
        <v>772</v>
      </c>
      <c r="C19" s="441" t="s">
        <v>45</v>
      </c>
      <c r="D19" s="444">
        <v>0</v>
      </c>
      <c r="E19" s="442">
        <v>7500000</v>
      </c>
      <c r="F19" s="444">
        <v>0</v>
      </c>
      <c r="G19" s="443">
        <f t="shared" si="0"/>
        <v>7500000</v>
      </c>
    </row>
    <row r="20" spans="1:7" x14ac:dyDescent="0.25">
      <c r="A20" s="440" t="s">
        <v>773</v>
      </c>
      <c r="B20" s="465" t="s">
        <v>774</v>
      </c>
      <c r="C20" s="466" t="s">
        <v>160</v>
      </c>
      <c r="D20" s="467">
        <v>33224074.07</v>
      </c>
      <c r="E20" s="467">
        <v>15000000</v>
      </c>
      <c r="F20" s="467">
        <f>2000000+'Details SP'!G295</f>
        <v>6334000</v>
      </c>
      <c r="G20" s="468">
        <f t="shared" si="0"/>
        <v>54558074.07</v>
      </c>
    </row>
    <row r="21" spans="1:7" x14ac:dyDescent="0.25">
      <c r="A21" s="440" t="s">
        <v>775</v>
      </c>
      <c r="B21" s="465" t="s">
        <v>776</v>
      </c>
      <c r="C21" s="466" t="s">
        <v>106</v>
      </c>
      <c r="D21" s="467">
        <v>22941005.329999998</v>
      </c>
      <c r="E21" s="467">
        <v>15000000</v>
      </c>
      <c r="F21" s="467">
        <f>15000000+'Details SP'!G328</f>
        <v>26000000</v>
      </c>
      <c r="G21" s="468">
        <f t="shared" si="0"/>
        <v>63941005.329999998</v>
      </c>
    </row>
    <row r="22" spans="1:7" ht="19.5" customHeight="1" x14ac:dyDescent="0.25">
      <c r="A22" s="440" t="s">
        <v>777</v>
      </c>
      <c r="B22" s="465" t="s">
        <v>778</v>
      </c>
      <c r="C22" s="466" t="s">
        <v>46</v>
      </c>
      <c r="D22" s="469">
        <v>0</v>
      </c>
      <c r="E22" s="467">
        <v>4500000</v>
      </c>
      <c r="F22" s="467">
        <f>40000000+'Details SP'!G361</f>
        <v>41000000</v>
      </c>
      <c r="G22" s="468">
        <f t="shared" si="0"/>
        <v>45500000</v>
      </c>
    </row>
    <row r="23" spans="1:7" x14ac:dyDescent="0.25">
      <c r="A23" s="440" t="s">
        <v>779</v>
      </c>
      <c r="B23" s="440" t="s">
        <v>780</v>
      </c>
      <c r="C23" s="441" t="s">
        <v>47</v>
      </c>
      <c r="D23" s="444">
        <v>0</v>
      </c>
      <c r="E23" s="442">
        <v>12000000</v>
      </c>
      <c r="F23" s="442">
        <v>43000000</v>
      </c>
      <c r="G23" s="443">
        <f t="shared" si="0"/>
        <v>55000000</v>
      </c>
    </row>
    <row r="24" spans="1:7" ht="25.5" x14ac:dyDescent="0.25">
      <c r="A24" s="440" t="s">
        <v>781</v>
      </c>
      <c r="B24" s="440" t="s">
        <v>782</v>
      </c>
      <c r="C24" s="441" t="s">
        <v>245</v>
      </c>
      <c r="D24" s="442">
        <v>17392247.629999999</v>
      </c>
      <c r="E24" s="442">
        <v>19500000</v>
      </c>
      <c r="F24" s="442">
        <v>30000000</v>
      </c>
      <c r="G24" s="443">
        <f t="shared" si="0"/>
        <v>66892247.629999995</v>
      </c>
    </row>
    <row r="25" spans="1:7" x14ac:dyDescent="0.25">
      <c r="A25" s="440" t="s">
        <v>783</v>
      </c>
      <c r="B25" s="440" t="s">
        <v>784</v>
      </c>
      <c r="C25" s="441" t="s">
        <v>48</v>
      </c>
      <c r="D25" s="444">
        <v>0</v>
      </c>
      <c r="E25" s="442">
        <v>12000000</v>
      </c>
      <c r="F25" s="444">
        <v>0</v>
      </c>
      <c r="G25" s="443">
        <f t="shared" si="0"/>
        <v>12000000</v>
      </c>
    </row>
    <row r="26" spans="1:7" x14ac:dyDescent="0.25">
      <c r="A26" s="440" t="s">
        <v>1004</v>
      </c>
      <c r="B26" s="465" t="s">
        <v>1012</v>
      </c>
      <c r="C26" s="466" t="s">
        <v>1013</v>
      </c>
      <c r="D26" s="469">
        <v>0</v>
      </c>
      <c r="E26" s="467">
        <f>'Details SP'!G80</f>
        <v>2000000</v>
      </c>
      <c r="F26" s="469">
        <v>0</v>
      </c>
      <c r="G26" s="468">
        <f t="shared" si="0"/>
        <v>2000000</v>
      </c>
    </row>
    <row r="27" spans="1:7" ht="25.5" x14ac:dyDescent="0.25">
      <c r="A27" s="440" t="s">
        <v>785</v>
      </c>
      <c r="B27" s="440" t="s">
        <v>786</v>
      </c>
      <c r="C27" s="441" t="s">
        <v>49</v>
      </c>
      <c r="D27" s="444">
        <v>0</v>
      </c>
      <c r="E27" s="442">
        <v>12000000</v>
      </c>
      <c r="F27" s="442">
        <v>17000000</v>
      </c>
      <c r="G27" s="443">
        <f t="shared" si="0"/>
        <v>29000000</v>
      </c>
    </row>
    <row r="28" spans="1:7" ht="19.5" customHeight="1" x14ac:dyDescent="0.25">
      <c r="A28" s="440" t="s">
        <v>787</v>
      </c>
      <c r="B28" s="604" t="s">
        <v>788</v>
      </c>
      <c r="C28" s="605" t="s">
        <v>50</v>
      </c>
      <c r="D28" s="606">
        <v>371380669.08999997</v>
      </c>
      <c r="E28" s="606">
        <v>1152500000</v>
      </c>
      <c r="F28" s="606">
        <v>1756000000</v>
      </c>
      <c r="G28" s="607">
        <f t="shared" si="0"/>
        <v>3279880669.0900002</v>
      </c>
    </row>
    <row r="29" spans="1:7" x14ac:dyDescent="0.25">
      <c r="A29" s="603"/>
      <c r="B29" s="603"/>
      <c r="C29" s="496" t="s">
        <v>146</v>
      </c>
      <c r="D29" s="603"/>
      <c r="E29" s="603"/>
      <c r="F29" s="603"/>
      <c r="G29" s="603"/>
    </row>
    <row r="30" spans="1:7" x14ac:dyDescent="0.25">
      <c r="A30" s="445" t="s">
        <v>789</v>
      </c>
      <c r="B30" s="445" t="s">
        <v>790</v>
      </c>
      <c r="C30" s="446" t="s">
        <v>51</v>
      </c>
      <c r="D30" s="448">
        <v>49090478.590000004</v>
      </c>
      <c r="E30" s="448">
        <v>30000000</v>
      </c>
      <c r="F30" s="448">
        <v>30000000</v>
      </c>
      <c r="G30" s="449">
        <f t="shared" ref="G30:G61" si="1">SUM(D30:F30)</f>
        <v>109090478.59</v>
      </c>
    </row>
    <row r="31" spans="1:7" x14ac:dyDescent="0.25">
      <c r="A31" s="440" t="s">
        <v>791</v>
      </c>
      <c r="B31" s="440" t="s">
        <v>792</v>
      </c>
      <c r="C31" s="441" t="s">
        <v>107</v>
      </c>
      <c r="D31" s="444">
        <v>0</v>
      </c>
      <c r="E31" s="442">
        <v>8000000</v>
      </c>
      <c r="F31" s="444">
        <v>0</v>
      </c>
      <c r="G31" s="443">
        <f t="shared" si="1"/>
        <v>8000000</v>
      </c>
    </row>
    <row r="32" spans="1:7" x14ac:dyDescent="0.25">
      <c r="A32" s="440" t="s">
        <v>793</v>
      </c>
      <c r="B32" s="440" t="s">
        <v>794</v>
      </c>
      <c r="C32" s="441" t="s">
        <v>108</v>
      </c>
      <c r="D32" s="444">
        <v>0</v>
      </c>
      <c r="E32" s="442">
        <v>96000000</v>
      </c>
      <c r="F32" s="444">
        <v>0</v>
      </c>
      <c r="G32" s="443">
        <f t="shared" si="1"/>
        <v>96000000</v>
      </c>
    </row>
    <row r="33" spans="1:7" x14ac:dyDescent="0.25">
      <c r="A33" s="440" t="s">
        <v>795</v>
      </c>
      <c r="B33" s="440" t="s">
        <v>796</v>
      </c>
      <c r="C33" s="441" t="s">
        <v>109</v>
      </c>
      <c r="D33" s="444">
        <v>0</v>
      </c>
      <c r="E33" s="442">
        <v>79500000</v>
      </c>
      <c r="F33" s="444">
        <v>0</v>
      </c>
      <c r="G33" s="443">
        <f t="shared" si="1"/>
        <v>79500000</v>
      </c>
    </row>
    <row r="34" spans="1:7" x14ac:dyDescent="0.25">
      <c r="A34" s="440" t="s">
        <v>797</v>
      </c>
      <c r="B34" s="465" t="s">
        <v>798</v>
      </c>
      <c r="C34" s="466" t="s">
        <v>221</v>
      </c>
      <c r="D34" s="467">
        <v>243137591.03</v>
      </c>
      <c r="E34" s="467">
        <v>18000000</v>
      </c>
      <c r="F34" s="467">
        <f>200000000+'Details SP'!G473</f>
        <v>293500000</v>
      </c>
      <c r="G34" s="468">
        <f t="shared" si="1"/>
        <v>554637591.02999997</v>
      </c>
    </row>
    <row r="35" spans="1:7" x14ac:dyDescent="0.25">
      <c r="A35" s="440" t="s">
        <v>799</v>
      </c>
      <c r="B35" s="440" t="s">
        <v>800</v>
      </c>
      <c r="C35" s="441" t="s">
        <v>52</v>
      </c>
      <c r="D35" s="442">
        <v>224723179.59999999</v>
      </c>
      <c r="E35" s="444">
        <v>0</v>
      </c>
      <c r="F35" s="444">
        <v>0</v>
      </c>
      <c r="G35" s="443">
        <f t="shared" si="1"/>
        <v>224723179.59999999</v>
      </c>
    </row>
    <row r="36" spans="1:7" x14ac:dyDescent="0.25">
      <c r="A36" s="440" t="s">
        <v>801</v>
      </c>
      <c r="B36" s="440" t="s">
        <v>802</v>
      </c>
      <c r="C36" s="441" t="s">
        <v>24</v>
      </c>
      <c r="D36" s="442">
        <v>68317895.099999994</v>
      </c>
      <c r="E36" s="442">
        <v>12000000</v>
      </c>
      <c r="F36" s="444">
        <v>0</v>
      </c>
      <c r="G36" s="443">
        <f t="shared" si="1"/>
        <v>80317895.099999994</v>
      </c>
    </row>
    <row r="37" spans="1:7" x14ac:dyDescent="0.25">
      <c r="A37" s="440" t="s">
        <v>803</v>
      </c>
      <c r="B37" s="440" t="s">
        <v>804</v>
      </c>
      <c r="C37" s="441" t="s">
        <v>110</v>
      </c>
      <c r="D37" s="444">
        <v>0</v>
      </c>
      <c r="E37" s="442">
        <v>4800000</v>
      </c>
      <c r="F37" s="442">
        <v>6000000</v>
      </c>
      <c r="G37" s="443">
        <f t="shared" si="1"/>
        <v>10800000</v>
      </c>
    </row>
    <row r="38" spans="1:7" x14ac:dyDescent="0.25">
      <c r="A38" s="440" t="s">
        <v>805</v>
      </c>
      <c r="B38" s="465" t="s">
        <v>806</v>
      </c>
      <c r="C38" s="466" t="s">
        <v>111</v>
      </c>
      <c r="D38" s="469">
        <v>0</v>
      </c>
      <c r="E38" s="467">
        <v>10000000</v>
      </c>
      <c r="F38" s="467">
        <f>10000000+'Details SP'!G497</f>
        <v>11000000</v>
      </c>
      <c r="G38" s="468">
        <f t="shared" si="1"/>
        <v>21000000</v>
      </c>
    </row>
    <row r="39" spans="1:7" x14ac:dyDescent="0.25">
      <c r="A39" s="440" t="s">
        <v>807</v>
      </c>
      <c r="B39" s="440" t="s">
        <v>808</v>
      </c>
      <c r="C39" s="441" t="s">
        <v>112</v>
      </c>
      <c r="D39" s="444">
        <v>0</v>
      </c>
      <c r="E39" s="442">
        <v>5400000</v>
      </c>
      <c r="F39" s="444">
        <v>0</v>
      </c>
      <c r="G39" s="443">
        <f t="shared" si="1"/>
        <v>5400000</v>
      </c>
    </row>
    <row r="40" spans="1:7" x14ac:dyDescent="0.25">
      <c r="A40" s="440" t="s">
        <v>809</v>
      </c>
      <c r="B40" s="440" t="s">
        <v>810</v>
      </c>
      <c r="C40" s="441" t="s">
        <v>53</v>
      </c>
      <c r="D40" s="444">
        <v>0</v>
      </c>
      <c r="E40" s="442">
        <v>48000000</v>
      </c>
      <c r="F40" s="444">
        <v>0</v>
      </c>
      <c r="G40" s="443">
        <f t="shared" si="1"/>
        <v>48000000</v>
      </c>
    </row>
    <row r="41" spans="1:7" x14ac:dyDescent="0.25">
      <c r="A41" s="440" t="s">
        <v>811</v>
      </c>
      <c r="B41" s="440" t="s">
        <v>812</v>
      </c>
      <c r="C41" s="441" t="s">
        <v>113</v>
      </c>
      <c r="D41" s="444">
        <v>0</v>
      </c>
      <c r="E41" s="442">
        <v>4500000</v>
      </c>
      <c r="F41" s="444">
        <v>0</v>
      </c>
      <c r="G41" s="443">
        <f t="shared" si="1"/>
        <v>4500000</v>
      </c>
    </row>
    <row r="42" spans="1:7" x14ac:dyDescent="0.25">
      <c r="A42" s="440" t="s">
        <v>813</v>
      </c>
      <c r="B42" s="440" t="s">
        <v>814</v>
      </c>
      <c r="C42" s="441" t="s">
        <v>54</v>
      </c>
      <c r="D42" s="444">
        <v>0</v>
      </c>
      <c r="E42" s="442">
        <v>12000000</v>
      </c>
      <c r="F42" s="442">
        <v>17400000</v>
      </c>
      <c r="G42" s="443">
        <f t="shared" si="1"/>
        <v>29400000</v>
      </c>
    </row>
    <row r="43" spans="1:7" x14ac:dyDescent="0.25">
      <c r="A43" s="440" t="s">
        <v>815</v>
      </c>
      <c r="B43" s="440" t="s">
        <v>816</v>
      </c>
      <c r="C43" s="441" t="s">
        <v>55</v>
      </c>
      <c r="D43" s="442">
        <v>175414978.88999999</v>
      </c>
      <c r="E43" s="442">
        <v>42000000</v>
      </c>
      <c r="F43" s="442">
        <v>300000000</v>
      </c>
      <c r="G43" s="443">
        <f t="shared" si="1"/>
        <v>517414978.88999999</v>
      </c>
    </row>
    <row r="44" spans="1:7" ht="25.5" x14ac:dyDescent="0.25">
      <c r="A44" s="440" t="s">
        <v>817</v>
      </c>
      <c r="B44" s="440" t="s">
        <v>818</v>
      </c>
      <c r="C44" s="441" t="s">
        <v>114</v>
      </c>
      <c r="D44" s="444">
        <v>0</v>
      </c>
      <c r="E44" s="442">
        <v>4000000</v>
      </c>
      <c r="F44" s="442">
        <v>350000</v>
      </c>
      <c r="G44" s="443">
        <f t="shared" si="1"/>
        <v>4350000</v>
      </c>
    </row>
    <row r="45" spans="1:7" x14ac:dyDescent="0.25">
      <c r="A45" s="440" t="s">
        <v>819</v>
      </c>
      <c r="B45" s="440" t="s">
        <v>820</v>
      </c>
      <c r="C45" s="441" t="s">
        <v>246</v>
      </c>
      <c r="D45" s="444">
        <v>0</v>
      </c>
      <c r="E45" s="442">
        <v>16000000</v>
      </c>
      <c r="F45" s="444">
        <v>0</v>
      </c>
      <c r="G45" s="443">
        <f t="shared" si="1"/>
        <v>16000000</v>
      </c>
    </row>
    <row r="46" spans="1:7" x14ac:dyDescent="0.25">
      <c r="A46" s="440" t="s">
        <v>821</v>
      </c>
      <c r="B46" s="465" t="s">
        <v>822</v>
      </c>
      <c r="C46" s="466" t="s">
        <v>115</v>
      </c>
      <c r="D46" s="469">
        <v>0</v>
      </c>
      <c r="E46" s="467">
        <v>32000000</v>
      </c>
      <c r="F46" s="467">
        <f>133000000+'Details SP'!G534-'Details SP'!F534</f>
        <v>90000000</v>
      </c>
      <c r="G46" s="468">
        <f t="shared" si="1"/>
        <v>122000000</v>
      </c>
    </row>
    <row r="47" spans="1:7" x14ac:dyDescent="0.25">
      <c r="A47" s="440" t="s">
        <v>823</v>
      </c>
      <c r="B47" s="440" t="s">
        <v>824</v>
      </c>
      <c r="C47" s="441" t="s">
        <v>56</v>
      </c>
      <c r="D47" s="442">
        <v>359867855.32999998</v>
      </c>
      <c r="E47" s="442">
        <v>40000000</v>
      </c>
      <c r="F47" s="442">
        <v>25000000</v>
      </c>
      <c r="G47" s="443">
        <f t="shared" si="1"/>
        <v>424867855.32999998</v>
      </c>
    </row>
    <row r="48" spans="1:7" x14ac:dyDescent="0.25">
      <c r="A48" s="440" t="s">
        <v>825</v>
      </c>
      <c r="B48" s="465" t="s">
        <v>285</v>
      </c>
      <c r="C48" s="466" t="s">
        <v>57</v>
      </c>
      <c r="D48" s="467">
        <v>62193322.710000001</v>
      </c>
      <c r="E48" s="467">
        <f>15000000+'Details SP'!G112</f>
        <v>16500000</v>
      </c>
      <c r="F48" s="467">
        <v>11400000</v>
      </c>
      <c r="G48" s="468">
        <f t="shared" si="1"/>
        <v>90093322.710000008</v>
      </c>
    </row>
    <row r="49" spans="1:7" x14ac:dyDescent="0.25">
      <c r="A49" s="440" t="s">
        <v>826</v>
      </c>
      <c r="B49" s="440" t="s">
        <v>827</v>
      </c>
      <c r="C49" s="441" t="s">
        <v>58</v>
      </c>
      <c r="D49" s="442">
        <v>77103401.620000005</v>
      </c>
      <c r="E49" s="442">
        <v>24000000</v>
      </c>
      <c r="F49" s="442">
        <v>20000000</v>
      </c>
      <c r="G49" s="443">
        <f t="shared" si="1"/>
        <v>121103401.62</v>
      </c>
    </row>
    <row r="50" spans="1:7" ht="25.5" x14ac:dyDescent="0.25">
      <c r="A50" s="440" t="s">
        <v>828</v>
      </c>
      <c r="B50" s="465" t="s">
        <v>829</v>
      </c>
      <c r="C50" s="466" t="s">
        <v>59</v>
      </c>
      <c r="D50" s="467">
        <v>54231920.100000001</v>
      </c>
      <c r="E50" s="467">
        <v>20000000</v>
      </c>
      <c r="F50" s="467">
        <f>5000000+'Details SP'!G555</f>
        <v>7000000</v>
      </c>
      <c r="G50" s="468">
        <f t="shared" si="1"/>
        <v>81231920.099999994</v>
      </c>
    </row>
    <row r="51" spans="1:7" ht="25.5" x14ac:dyDescent="0.25">
      <c r="A51" s="440" t="s">
        <v>830</v>
      </c>
      <c r="B51" s="440" t="s">
        <v>831</v>
      </c>
      <c r="C51" s="441" t="s">
        <v>116</v>
      </c>
      <c r="D51" s="444">
        <v>0</v>
      </c>
      <c r="E51" s="442">
        <v>10800000</v>
      </c>
      <c r="F51" s="444">
        <v>0</v>
      </c>
      <c r="G51" s="443">
        <f t="shared" si="1"/>
        <v>10800000</v>
      </c>
    </row>
    <row r="52" spans="1:7" x14ac:dyDescent="0.25">
      <c r="A52" s="440" t="s">
        <v>832</v>
      </c>
      <c r="B52" s="440" t="s">
        <v>385</v>
      </c>
      <c r="C52" s="441" t="s">
        <v>247</v>
      </c>
      <c r="D52" s="442">
        <v>489187133.52999997</v>
      </c>
      <c r="E52" s="442">
        <v>18000000</v>
      </c>
      <c r="F52" s="442">
        <v>25000000</v>
      </c>
      <c r="G52" s="443">
        <f t="shared" si="1"/>
        <v>532187133.52999997</v>
      </c>
    </row>
    <row r="53" spans="1:7" x14ac:dyDescent="0.25">
      <c r="A53" s="440" t="s">
        <v>833</v>
      </c>
      <c r="B53" s="440" t="s">
        <v>834</v>
      </c>
      <c r="C53" s="441" t="s">
        <v>117</v>
      </c>
      <c r="D53" s="444">
        <v>0</v>
      </c>
      <c r="E53" s="442">
        <v>1800000</v>
      </c>
      <c r="F53" s="444">
        <v>0</v>
      </c>
      <c r="G53" s="443">
        <f t="shared" si="1"/>
        <v>1800000</v>
      </c>
    </row>
    <row r="54" spans="1:7" x14ac:dyDescent="0.25">
      <c r="A54" s="440" t="s">
        <v>835</v>
      </c>
      <c r="B54" s="440" t="s">
        <v>836</v>
      </c>
      <c r="C54" s="441" t="s">
        <v>60</v>
      </c>
      <c r="D54" s="442">
        <v>278907989.56</v>
      </c>
      <c r="E54" s="442">
        <v>4050000</v>
      </c>
      <c r="F54" s="442">
        <v>5500000</v>
      </c>
      <c r="G54" s="443">
        <f t="shared" si="1"/>
        <v>288457989.56</v>
      </c>
    </row>
    <row r="55" spans="1:7" x14ac:dyDescent="0.25">
      <c r="A55" s="440" t="s">
        <v>837</v>
      </c>
      <c r="B55" s="440" t="s">
        <v>838</v>
      </c>
      <c r="C55" s="441" t="s">
        <v>161</v>
      </c>
      <c r="D55" s="444">
        <v>0</v>
      </c>
      <c r="E55" s="442">
        <v>9000000</v>
      </c>
      <c r="F55" s="444">
        <v>0</v>
      </c>
      <c r="G55" s="443">
        <f t="shared" si="1"/>
        <v>9000000</v>
      </c>
    </row>
    <row r="56" spans="1:7" x14ac:dyDescent="0.25">
      <c r="A56" s="440" t="s">
        <v>839</v>
      </c>
      <c r="B56" s="440" t="s">
        <v>422</v>
      </c>
      <c r="C56" s="441" t="s">
        <v>61</v>
      </c>
      <c r="D56" s="442">
        <v>62715733.630000003</v>
      </c>
      <c r="E56" s="442">
        <v>5000000</v>
      </c>
      <c r="F56" s="444">
        <v>0</v>
      </c>
      <c r="G56" s="443">
        <f t="shared" si="1"/>
        <v>67715733.629999995</v>
      </c>
    </row>
    <row r="57" spans="1:7" x14ac:dyDescent="0.25">
      <c r="A57" s="440" t="s">
        <v>840</v>
      </c>
      <c r="B57" s="440" t="s">
        <v>841</v>
      </c>
      <c r="C57" s="441" t="s">
        <v>62</v>
      </c>
      <c r="D57" s="444">
        <v>0</v>
      </c>
      <c r="E57" s="442">
        <v>6600000</v>
      </c>
      <c r="F57" s="444">
        <v>0</v>
      </c>
      <c r="G57" s="443">
        <f t="shared" si="1"/>
        <v>6600000</v>
      </c>
    </row>
    <row r="58" spans="1:7" x14ac:dyDescent="0.25">
      <c r="A58" s="440" t="s">
        <v>842</v>
      </c>
      <c r="B58" s="440" t="s">
        <v>397</v>
      </c>
      <c r="C58" s="441" t="s">
        <v>63</v>
      </c>
      <c r="D58" s="444">
        <v>0</v>
      </c>
      <c r="E58" s="442">
        <v>8000000</v>
      </c>
      <c r="F58" s="444">
        <v>0</v>
      </c>
      <c r="G58" s="443">
        <f t="shared" si="1"/>
        <v>8000000</v>
      </c>
    </row>
    <row r="59" spans="1:7" x14ac:dyDescent="0.25">
      <c r="A59" s="495"/>
      <c r="B59" s="495"/>
      <c r="C59" s="496" t="s">
        <v>263</v>
      </c>
      <c r="D59" s="506"/>
      <c r="E59" s="497"/>
      <c r="F59" s="506"/>
      <c r="G59" s="498"/>
    </row>
    <row r="60" spans="1:7" x14ac:dyDescent="0.25">
      <c r="A60" s="445" t="s">
        <v>843</v>
      </c>
      <c r="B60" s="502" t="s">
        <v>844</v>
      </c>
      <c r="C60" s="503" t="s">
        <v>64</v>
      </c>
      <c r="D60" s="504">
        <v>143505124.34</v>
      </c>
      <c r="E60" s="504">
        <v>150000000</v>
      </c>
      <c r="F60" s="504">
        <f>5465000000+'Details SP'!G615</f>
        <v>10308000000</v>
      </c>
      <c r="G60" s="505">
        <f t="shared" si="1"/>
        <v>10601505124.34</v>
      </c>
    </row>
    <row r="61" spans="1:7" x14ac:dyDescent="0.25">
      <c r="A61" s="440" t="s">
        <v>845</v>
      </c>
      <c r="B61" s="440" t="s">
        <v>846</v>
      </c>
      <c r="C61" s="441" t="s">
        <v>118</v>
      </c>
      <c r="D61" s="444">
        <v>0</v>
      </c>
      <c r="E61" s="442">
        <v>24000000</v>
      </c>
      <c r="F61" s="444">
        <v>0</v>
      </c>
      <c r="G61" s="443">
        <f t="shared" si="1"/>
        <v>24000000</v>
      </c>
    </row>
    <row r="62" spans="1:7" x14ac:dyDescent="0.25">
      <c r="A62" s="445" t="s">
        <v>847</v>
      </c>
      <c r="B62" s="445" t="s">
        <v>848</v>
      </c>
      <c r="C62" s="446" t="s">
        <v>849</v>
      </c>
      <c r="D62" s="447">
        <v>0</v>
      </c>
      <c r="E62" s="448">
        <v>12000000</v>
      </c>
      <c r="F62" s="447">
        <v>0</v>
      </c>
      <c r="G62" s="449">
        <f t="shared" ref="G62:G91" si="2">SUM(D62:F62)</f>
        <v>12000000</v>
      </c>
    </row>
    <row r="63" spans="1:7" x14ac:dyDescent="0.25">
      <c r="A63" s="440" t="s">
        <v>850</v>
      </c>
      <c r="B63" s="440" t="s">
        <v>851</v>
      </c>
      <c r="C63" s="441" t="s">
        <v>65</v>
      </c>
      <c r="D63" s="444">
        <v>0</v>
      </c>
      <c r="E63" s="442">
        <v>18000000</v>
      </c>
      <c r="F63" s="444">
        <v>0</v>
      </c>
      <c r="G63" s="443">
        <f t="shared" si="2"/>
        <v>18000000</v>
      </c>
    </row>
    <row r="64" spans="1:7" x14ac:dyDescent="0.25">
      <c r="A64" s="440" t="s">
        <v>852</v>
      </c>
      <c r="B64" s="440" t="s">
        <v>853</v>
      </c>
      <c r="C64" s="441" t="s">
        <v>66</v>
      </c>
      <c r="D64" s="442">
        <v>163637099.84999999</v>
      </c>
      <c r="E64" s="442">
        <v>120000000</v>
      </c>
      <c r="F64" s="442">
        <v>156000000</v>
      </c>
      <c r="G64" s="443">
        <f t="shared" si="2"/>
        <v>439637099.85000002</v>
      </c>
    </row>
    <row r="65" spans="1:7" x14ac:dyDescent="0.25">
      <c r="A65" s="440" t="s">
        <v>854</v>
      </c>
      <c r="B65" s="465" t="s">
        <v>855</v>
      </c>
      <c r="C65" s="466" t="s">
        <v>67</v>
      </c>
      <c r="D65" s="467">
        <v>324716162.36000001</v>
      </c>
      <c r="E65" s="467">
        <v>180000000</v>
      </c>
      <c r="F65" s="467">
        <f>1400000000+'Details SP'!G654</f>
        <v>3456000000</v>
      </c>
      <c r="G65" s="468">
        <f t="shared" si="2"/>
        <v>3960716162.3600001</v>
      </c>
    </row>
    <row r="66" spans="1:7" ht="16.5" customHeight="1" x14ac:dyDescent="0.25">
      <c r="A66" s="440" t="s">
        <v>856</v>
      </c>
      <c r="B66" s="460" t="s">
        <v>857</v>
      </c>
      <c r="C66" s="461" t="s">
        <v>248</v>
      </c>
      <c r="D66" s="462">
        <f>79164515.81+'Personnel Details'!F8</f>
        <v>196713055.81</v>
      </c>
      <c r="E66" s="462">
        <v>40000000</v>
      </c>
      <c r="F66" s="462">
        <v>10000000</v>
      </c>
      <c r="G66" s="463">
        <f t="shared" si="2"/>
        <v>246713055.81</v>
      </c>
    </row>
    <row r="67" spans="1:7" x14ac:dyDescent="0.25">
      <c r="A67" s="440" t="s">
        <v>858</v>
      </c>
      <c r="B67" s="440" t="s">
        <v>859</v>
      </c>
      <c r="C67" s="441" t="s">
        <v>119</v>
      </c>
      <c r="D67" s="444">
        <v>0</v>
      </c>
      <c r="E67" s="442">
        <v>4000000</v>
      </c>
      <c r="F67" s="442">
        <v>2500000</v>
      </c>
      <c r="G67" s="443">
        <f t="shared" si="2"/>
        <v>6500000</v>
      </c>
    </row>
    <row r="68" spans="1:7" x14ac:dyDescent="0.25">
      <c r="A68" s="440" t="s">
        <v>860</v>
      </c>
      <c r="B68" s="440" t="s">
        <v>861</v>
      </c>
      <c r="C68" s="441" t="s">
        <v>68</v>
      </c>
      <c r="D68" s="442">
        <v>30245182.82</v>
      </c>
      <c r="E68" s="442">
        <v>18000000</v>
      </c>
      <c r="F68" s="444">
        <v>0</v>
      </c>
      <c r="G68" s="443">
        <f t="shared" si="2"/>
        <v>48245182.82</v>
      </c>
    </row>
    <row r="69" spans="1:7" x14ac:dyDescent="0.25">
      <c r="A69" s="440" t="s">
        <v>862</v>
      </c>
      <c r="B69" s="440" t="s">
        <v>863</v>
      </c>
      <c r="C69" s="441" t="s">
        <v>69</v>
      </c>
      <c r="D69" s="442">
        <v>100862788.77</v>
      </c>
      <c r="E69" s="442">
        <v>25000000</v>
      </c>
      <c r="F69" s="444">
        <v>0</v>
      </c>
      <c r="G69" s="443">
        <f t="shared" si="2"/>
        <v>125862788.77</v>
      </c>
    </row>
    <row r="70" spans="1:7" ht="25.5" x14ac:dyDescent="0.25">
      <c r="A70" s="440" t="s">
        <v>864</v>
      </c>
      <c r="B70" s="440" t="s">
        <v>865</v>
      </c>
      <c r="C70" s="441" t="s">
        <v>249</v>
      </c>
      <c r="D70" s="444">
        <v>0</v>
      </c>
      <c r="E70" s="442">
        <v>6700000</v>
      </c>
      <c r="F70" s="444">
        <v>0</v>
      </c>
      <c r="G70" s="443">
        <f t="shared" si="2"/>
        <v>6700000</v>
      </c>
    </row>
    <row r="71" spans="1:7" x14ac:dyDescent="0.25">
      <c r="A71" s="440" t="s">
        <v>866</v>
      </c>
      <c r="B71" s="440" t="s">
        <v>867</v>
      </c>
      <c r="C71" s="441" t="s">
        <v>250</v>
      </c>
      <c r="D71" s="442">
        <v>156482935.94</v>
      </c>
      <c r="E71" s="442">
        <v>20000000</v>
      </c>
      <c r="F71" s="442">
        <v>259000000</v>
      </c>
      <c r="G71" s="443">
        <f t="shared" si="2"/>
        <v>435482935.94</v>
      </c>
    </row>
    <row r="72" spans="1:7" ht="25.5" x14ac:dyDescent="0.25">
      <c r="A72" s="440" t="s">
        <v>868</v>
      </c>
      <c r="B72" s="440" t="s">
        <v>869</v>
      </c>
      <c r="C72" s="441" t="s">
        <v>251</v>
      </c>
      <c r="D72" s="444">
        <v>0</v>
      </c>
      <c r="E72" s="442">
        <v>6000000</v>
      </c>
      <c r="F72" s="444">
        <v>0</v>
      </c>
      <c r="G72" s="443">
        <f t="shared" si="2"/>
        <v>6000000</v>
      </c>
    </row>
    <row r="73" spans="1:7" ht="12.95" customHeight="1" x14ac:dyDescent="0.25">
      <c r="A73" s="440" t="s">
        <v>870</v>
      </c>
      <c r="B73" s="440" t="s">
        <v>871</v>
      </c>
      <c r="C73" s="441" t="s">
        <v>70</v>
      </c>
      <c r="D73" s="442">
        <v>152181377.28999999</v>
      </c>
      <c r="E73" s="442">
        <v>15000000</v>
      </c>
      <c r="F73" s="442">
        <v>425000000</v>
      </c>
      <c r="G73" s="443">
        <f t="shared" si="2"/>
        <v>592181377.28999996</v>
      </c>
    </row>
    <row r="74" spans="1:7" ht="12.95" customHeight="1" x14ac:dyDescent="0.25">
      <c r="A74" s="440" t="s">
        <v>872</v>
      </c>
      <c r="B74" s="440" t="s">
        <v>873</v>
      </c>
      <c r="C74" s="441" t="s">
        <v>252</v>
      </c>
      <c r="D74" s="442">
        <v>610156067.89999998</v>
      </c>
      <c r="E74" s="442">
        <v>30000000</v>
      </c>
      <c r="F74" s="442">
        <v>65000000</v>
      </c>
      <c r="G74" s="443">
        <f t="shared" si="2"/>
        <v>705156067.89999998</v>
      </c>
    </row>
    <row r="75" spans="1:7" ht="12.95" customHeight="1" x14ac:dyDescent="0.25">
      <c r="A75" s="440" t="s">
        <v>874</v>
      </c>
      <c r="B75" s="440" t="s">
        <v>875</v>
      </c>
      <c r="C75" s="441" t="s">
        <v>162</v>
      </c>
      <c r="D75" s="444">
        <v>0</v>
      </c>
      <c r="E75" s="442">
        <v>10500000</v>
      </c>
      <c r="F75" s="444">
        <v>0</v>
      </c>
      <c r="G75" s="443">
        <f t="shared" si="2"/>
        <v>10500000</v>
      </c>
    </row>
    <row r="76" spans="1:7" ht="12.95" customHeight="1" x14ac:dyDescent="0.25">
      <c r="A76" s="440" t="s">
        <v>876</v>
      </c>
      <c r="B76" s="440" t="s">
        <v>439</v>
      </c>
      <c r="C76" s="441" t="s">
        <v>253</v>
      </c>
      <c r="D76" s="442">
        <v>431605834.16000003</v>
      </c>
      <c r="E76" s="442">
        <v>18000000</v>
      </c>
      <c r="F76" s="444">
        <v>0</v>
      </c>
      <c r="G76" s="443">
        <f t="shared" si="2"/>
        <v>449605834.16000003</v>
      </c>
    </row>
    <row r="77" spans="1:7" ht="25.5" x14ac:dyDescent="0.25">
      <c r="A77" s="440" t="s">
        <v>877</v>
      </c>
      <c r="B77" s="440" t="s">
        <v>878</v>
      </c>
      <c r="C77" s="441" t="s">
        <v>536</v>
      </c>
      <c r="D77" s="444">
        <v>0</v>
      </c>
      <c r="E77" s="442">
        <v>8000000</v>
      </c>
      <c r="F77" s="444">
        <v>0</v>
      </c>
      <c r="G77" s="443">
        <f t="shared" si="2"/>
        <v>8000000</v>
      </c>
    </row>
    <row r="78" spans="1:7" x14ac:dyDescent="0.25">
      <c r="A78" s="440" t="s">
        <v>879</v>
      </c>
      <c r="B78" s="440" t="s">
        <v>880</v>
      </c>
      <c r="C78" s="441" t="s">
        <v>72</v>
      </c>
      <c r="D78" s="442">
        <v>113360520.69</v>
      </c>
      <c r="E78" s="442">
        <v>25000000</v>
      </c>
      <c r="F78" s="442">
        <v>95000000</v>
      </c>
      <c r="G78" s="443">
        <f t="shared" si="2"/>
        <v>233360520.69</v>
      </c>
    </row>
    <row r="79" spans="1:7" x14ac:dyDescent="0.25">
      <c r="A79" s="440" t="s">
        <v>881</v>
      </c>
      <c r="B79" s="460" t="s">
        <v>882</v>
      </c>
      <c r="C79" s="461" t="s">
        <v>73</v>
      </c>
      <c r="D79" s="462">
        <v>94570726.019999996</v>
      </c>
      <c r="E79" s="462">
        <v>129550000</v>
      </c>
      <c r="F79" s="462">
        <f>645536296-'Details SP'!F696</f>
        <v>495536296</v>
      </c>
      <c r="G79" s="463">
        <f t="shared" si="2"/>
        <v>719657022.01999998</v>
      </c>
    </row>
    <row r="80" spans="1:7" x14ac:dyDescent="0.25">
      <c r="A80" s="440" t="s">
        <v>883</v>
      </c>
      <c r="B80" s="440" t="s">
        <v>884</v>
      </c>
      <c r="C80" s="441" t="s">
        <v>120</v>
      </c>
      <c r="D80" s="444">
        <v>0</v>
      </c>
      <c r="E80" s="442">
        <v>24000000</v>
      </c>
      <c r="F80" s="444">
        <v>0</v>
      </c>
      <c r="G80" s="443">
        <f t="shared" si="2"/>
        <v>24000000</v>
      </c>
    </row>
    <row r="81" spans="1:7" x14ac:dyDescent="0.25">
      <c r="A81" s="440" t="s">
        <v>885</v>
      </c>
      <c r="B81" s="440" t="s">
        <v>886</v>
      </c>
      <c r="C81" s="441" t="s">
        <v>887</v>
      </c>
      <c r="D81" s="444">
        <v>0</v>
      </c>
      <c r="E81" s="442">
        <v>12000000</v>
      </c>
      <c r="F81" s="444">
        <v>0</v>
      </c>
      <c r="G81" s="443">
        <f t="shared" si="2"/>
        <v>12000000</v>
      </c>
    </row>
    <row r="82" spans="1:7" ht="25.5" x14ac:dyDescent="0.25">
      <c r="A82" s="440" t="s">
        <v>888</v>
      </c>
      <c r="B82" s="440" t="s">
        <v>889</v>
      </c>
      <c r="C82" s="441" t="s">
        <v>254</v>
      </c>
      <c r="D82" s="444">
        <v>0</v>
      </c>
      <c r="E82" s="442">
        <v>12000000</v>
      </c>
      <c r="F82" s="444">
        <v>0</v>
      </c>
      <c r="G82" s="443">
        <f t="shared" si="2"/>
        <v>12000000</v>
      </c>
    </row>
    <row r="83" spans="1:7" ht="15.75" customHeight="1" x14ac:dyDescent="0.25">
      <c r="A83" s="440" t="s">
        <v>890</v>
      </c>
      <c r="B83" s="440" t="s">
        <v>891</v>
      </c>
      <c r="C83" s="441" t="s">
        <v>892</v>
      </c>
      <c r="D83" s="444">
        <v>0</v>
      </c>
      <c r="E83" s="442">
        <v>15000000</v>
      </c>
      <c r="F83" s="444">
        <v>0</v>
      </c>
      <c r="G83" s="443">
        <f t="shared" si="2"/>
        <v>15000000</v>
      </c>
    </row>
    <row r="84" spans="1:7" x14ac:dyDescent="0.25">
      <c r="A84" s="440" t="s">
        <v>893</v>
      </c>
      <c r="B84" s="440" t="s">
        <v>894</v>
      </c>
      <c r="C84" s="441" t="s">
        <v>74</v>
      </c>
      <c r="D84" s="442">
        <v>42809343.82</v>
      </c>
      <c r="E84" s="442">
        <v>20000000</v>
      </c>
      <c r="F84" s="442">
        <v>78000000</v>
      </c>
      <c r="G84" s="443">
        <f t="shared" si="2"/>
        <v>140809343.81999999</v>
      </c>
    </row>
    <row r="85" spans="1:7" ht="25.5" x14ac:dyDescent="0.25">
      <c r="A85" s="440" t="s">
        <v>895</v>
      </c>
      <c r="B85" s="465" t="s">
        <v>607</v>
      </c>
      <c r="C85" s="466" t="s">
        <v>1016</v>
      </c>
      <c r="D85" s="467">
        <v>0</v>
      </c>
      <c r="E85" s="467">
        <f>'Details SP'!G144</f>
        <v>8000000</v>
      </c>
      <c r="F85" s="467">
        <v>0</v>
      </c>
      <c r="G85" s="443">
        <f t="shared" si="2"/>
        <v>8000000</v>
      </c>
    </row>
    <row r="86" spans="1:7" x14ac:dyDescent="0.25">
      <c r="A86" s="440" t="s">
        <v>897</v>
      </c>
      <c r="B86" s="440" t="s">
        <v>896</v>
      </c>
      <c r="C86" s="441" t="s">
        <v>75</v>
      </c>
      <c r="D86" s="442">
        <v>665083774.39999998</v>
      </c>
      <c r="E86" s="442">
        <v>14000000</v>
      </c>
      <c r="F86" s="444">
        <v>0</v>
      </c>
      <c r="G86" s="443">
        <f t="shared" si="2"/>
        <v>679083774.39999998</v>
      </c>
    </row>
    <row r="87" spans="1:7" ht="25.5" x14ac:dyDescent="0.25">
      <c r="A87" s="440" t="s">
        <v>899</v>
      </c>
      <c r="B87" s="440" t="s">
        <v>898</v>
      </c>
      <c r="C87" s="441" t="s">
        <v>255</v>
      </c>
      <c r="D87" s="442">
        <v>21489373.93</v>
      </c>
      <c r="E87" s="442">
        <v>20000000</v>
      </c>
      <c r="F87" s="442">
        <v>12000000</v>
      </c>
      <c r="G87" s="443">
        <f>SUM(D87:F87)</f>
        <v>53489373.93</v>
      </c>
    </row>
    <row r="88" spans="1:7" x14ac:dyDescent="0.25">
      <c r="A88" s="517"/>
      <c r="B88" s="517"/>
      <c r="C88" s="496" t="s">
        <v>264</v>
      </c>
      <c r="D88" s="497"/>
      <c r="E88" s="497"/>
      <c r="F88" s="506"/>
      <c r="G88" s="498"/>
    </row>
    <row r="89" spans="1:7" ht="25.5" x14ac:dyDescent="0.25">
      <c r="A89" s="445" t="s">
        <v>899</v>
      </c>
      <c r="B89" s="445" t="s">
        <v>900</v>
      </c>
      <c r="C89" s="446" t="s">
        <v>76</v>
      </c>
      <c r="D89" s="448">
        <v>129132918.48</v>
      </c>
      <c r="E89" s="448">
        <v>7500000</v>
      </c>
      <c r="F89" s="447">
        <v>0</v>
      </c>
      <c r="G89" s="449">
        <f t="shared" si="2"/>
        <v>136632918.48000002</v>
      </c>
    </row>
    <row r="90" spans="1:7" x14ac:dyDescent="0.25">
      <c r="A90" s="440" t="s">
        <v>901</v>
      </c>
      <c r="B90" s="440" t="s">
        <v>720</v>
      </c>
      <c r="C90" s="441" t="s">
        <v>77</v>
      </c>
      <c r="D90" s="444">
        <v>0</v>
      </c>
      <c r="E90" s="442">
        <v>8000000</v>
      </c>
      <c r="F90" s="444">
        <v>0</v>
      </c>
      <c r="G90" s="443">
        <f t="shared" si="2"/>
        <v>8000000</v>
      </c>
    </row>
    <row r="91" spans="1:7" x14ac:dyDescent="0.25">
      <c r="A91" s="445" t="s">
        <v>902</v>
      </c>
      <c r="B91" s="440" t="s">
        <v>903</v>
      </c>
      <c r="C91" s="441" t="s">
        <v>78</v>
      </c>
      <c r="D91" s="442">
        <v>194217871.11000001</v>
      </c>
      <c r="E91" s="442">
        <v>18000000</v>
      </c>
      <c r="F91" s="444">
        <v>0</v>
      </c>
      <c r="G91" s="443">
        <f t="shared" si="2"/>
        <v>212217871.11000001</v>
      </c>
    </row>
    <row r="92" spans="1:7" x14ac:dyDescent="0.25">
      <c r="A92" s="440" t="s">
        <v>904</v>
      </c>
      <c r="B92" s="440" t="s">
        <v>905</v>
      </c>
      <c r="C92" s="441" t="s">
        <v>214</v>
      </c>
      <c r="D92" s="444">
        <v>0</v>
      </c>
      <c r="E92" s="442">
        <v>18000000</v>
      </c>
      <c r="F92" s="442">
        <v>20000000</v>
      </c>
      <c r="G92" s="443">
        <f t="shared" ref="G92:G120" si="3">SUM(D92:F92)</f>
        <v>38000000</v>
      </c>
    </row>
    <row r="93" spans="1:7" ht="25.5" x14ac:dyDescent="0.25">
      <c r="A93" s="445" t="s">
        <v>906</v>
      </c>
      <c r="B93" s="440" t="s">
        <v>907</v>
      </c>
      <c r="C93" s="441" t="s">
        <v>163</v>
      </c>
      <c r="D93" s="442">
        <v>148569059.09999999</v>
      </c>
      <c r="E93" s="442">
        <v>18000000</v>
      </c>
      <c r="F93" s="442">
        <v>8000000</v>
      </c>
      <c r="G93" s="443">
        <f t="shared" si="3"/>
        <v>174569059.09999999</v>
      </c>
    </row>
    <row r="94" spans="1:7" x14ac:dyDescent="0.25">
      <c r="A94" s="440" t="s">
        <v>908</v>
      </c>
      <c r="B94" s="465" t="s">
        <v>719</v>
      </c>
      <c r="C94" s="466" t="s">
        <v>23</v>
      </c>
      <c r="D94" s="467">
        <v>1251783260.8900001</v>
      </c>
      <c r="E94" s="467">
        <v>70000000</v>
      </c>
      <c r="F94" s="467">
        <f>190000000+'Details SP'!G749</f>
        <v>228000000</v>
      </c>
      <c r="G94" s="468">
        <f t="shared" si="3"/>
        <v>1549783260.8900001</v>
      </c>
    </row>
    <row r="95" spans="1:7" x14ac:dyDescent="0.25">
      <c r="A95" s="445" t="s">
        <v>909</v>
      </c>
      <c r="B95" s="440" t="s">
        <v>910</v>
      </c>
      <c r="C95" s="441" t="s">
        <v>79</v>
      </c>
      <c r="D95" s="442">
        <v>53717740.270000003</v>
      </c>
      <c r="E95" s="442">
        <v>35000000</v>
      </c>
      <c r="F95" s="442">
        <v>9000000</v>
      </c>
      <c r="G95" s="443">
        <f t="shared" si="3"/>
        <v>97717740.270000011</v>
      </c>
    </row>
    <row r="96" spans="1:7" x14ac:dyDescent="0.25">
      <c r="A96" s="440" t="s">
        <v>911</v>
      </c>
      <c r="B96" s="440" t="s">
        <v>912</v>
      </c>
      <c r="C96" s="441" t="s">
        <v>121</v>
      </c>
      <c r="D96" s="444">
        <v>0</v>
      </c>
      <c r="E96" s="442">
        <v>40000000</v>
      </c>
      <c r="F96" s="444">
        <v>0</v>
      </c>
      <c r="G96" s="443">
        <f t="shared" si="3"/>
        <v>40000000</v>
      </c>
    </row>
    <row r="97" spans="1:7" x14ac:dyDescent="0.25">
      <c r="A97" s="445" t="s">
        <v>913</v>
      </c>
      <c r="B97" s="440" t="s">
        <v>914</v>
      </c>
      <c r="C97" s="441" t="s">
        <v>122</v>
      </c>
      <c r="D97" s="444">
        <v>0</v>
      </c>
      <c r="E97" s="442">
        <v>30000000</v>
      </c>
      <c r="F97" s="444">
        <v>0</v>
      </c>
      <c r="G97" s="443">
        <f t="shared" si="3"/>
        <v>30000000</v>
      </c>
    </row>
    <row r="98" spans="1:7" x14ac:dyDescent="0.25">
      <c r="A98" s="440" t="s">
        <v>915</v>
      </c>
      <c r="B98" s="465" t="s">
        <v>402</v>
      </c>
      <c r="C98" s="466" t="s">
        <v>80</v>
      </c>
      <c r="D98" s="467">
        <v>235801577.63999999</v>
      </c>
      <c r="E98" s="467">
        <f>30000000+'Details SP'!G177</f>
        <v>36000000</v>
      </c>
      <c r="F98" s="467">
        <v>45000000</v>
      </c>
      <c r="G98" s="468">
        <f t="shared" si="3"/>
        <v>316801577.63999999</v>
      </c>
    </row>
    <row r="99" spans="1:7" x14ac:dyDescent="0.25">
      <c r="A99" s="445" t="s">
        <v>916</v>
      </c>
      <c r="B99" s="440" t="s">
        <v>917</v>
      </c>
      <c r="C99" s="441" t="s">
        <v>81</v>
      </c>
      <c r="D99" s="442">
        <v>15136772.359999999</v>
      </c>
      <c r="E99" s="442">
        <v>9000000</v>
      </c>
      <c r="F99" s="444">
        <v>0</v>
      </c>
      <c r="G99" s="443">
        <f t="shared" si="3"/>
        <v>24136772.359999999</v>
      </c>
    </row>
    <row r="100" spans="1:7" ht="25.5" x14ac:dyDescent="0.25">
      <c r="A100" s="440" t="s">
        <v>918</v>
      </c>
      <c r="B100" s="440" t="s">
        <v>919</v>
      </c>
      <c r="C100" s="441" t="s">
        <v>123</v>
      </c>
      <c r="D100" s="444">
        <v>0</v>
      </c>
      <c r="E100" s="442">
        <v>8000000</v>
      </c>
      <c r="F100" s="444">
        <v>0</v>
      </c>
      <c r="G100" s="443">
        <f t="shared" si="3"/>
        <v>8000000</v>
      </c>
    </row>
    <row r="101" spans="1:7" x14ac:dyDescent="0.25">
      <c r="A101" s="445" t="s">
        <v>920</v>
      </c>
      <c r="B101" s="465" t="s">
        <v>724</v>
      </c>
      <c r="C101" s="466" t="s">
        <v>82</v>
      </c>
      <c r="D101" s="467">
        <v>543677468.24000001</v>
      </c>
      <c r="E101" s="467">
        <v>38000000</v>
      </c>
      <c r="F101" s="467">
        <f>33000000+'Details SP'!G774</f>
        <v>53000000</v>
      </c>
      <c r="G101" s="468">
        <f t="shared" si="3"/>
        <v>634677468.24000001</v>
      </c>
    </row>
    <row r="102" spans="1:7" ht="25.5" x14ac:dyDescent="0.25">
      <c r="A102" s="440" t="s">
        <v>921</v>
      </c>
      <c r="B102" s="440" t="s">
        <v>922</v>
      </c>
      <c r="C102" s="441" t="s">
        <v>124</v>
      </c>
      <c r="D102" s="444">
        <v>0</v>
      </c>
      <c r="E102" s="442">
        <v>20000000</v>
      </c>
      <c r="F102" s="444">
        <v>0</v>
      </c>
      <c r="G102" s="443">
        <f t="shared" si="3"/>
        <v>20000000</v>
      </c>
    </row>
    <row r="103" spans="1:7" x14ac:dyDescent="0.25">
      <c r="A103" s="445" t="s">
        <v>923</v>
      </c>
      <c r="B103" s="440" t="s">
        <v>924</v>
      </c>
      <c r="C103" s="441" t="s">
        <v>125</v>
      </c>
      <c r="D103" s="444">
        <v>0</v>
      </c>
      <c r="E103" s="442">
        <v>14000000</v>
      </c>
      <c r="F103" s="444">
        <v>0</v>
      </c>
      <c r="G103" s="443">
        <f t="shared" si="3"/>
        <v>14000000</v>
      </c>
    </row>
    <row r="104" spans="1:7" x14ac:dyDescent="0.25">
      <c r="A104" s="440" t="s">
        <v>925</v>
      </c>
      <c r="B104" s="440" t="s">
        <v>926</v>
      </c>
      <c r="C104" s="441" t="s">
        <v>230</v>
      </c>
      <c r="D104" s="442">
        <v>42273032.950000003</v>
      </c>
      <c r="E104" s="442">
        <v>24000000</v>
      </c>
      <c r="F104" s="442">
        <v>86500000</v>
      </c>
      <c r="G104" s="443">
        <f t="shared" si="3"/>
        <v>152773032.94999999</v>
      </c>
    </row>
    <row r="105" spans="1:7" x14ac:dyDescent="0.25">
      <c r="A105" s="445" t="s">
        <v>927</v>
      </c>
      <c r="B105" s="460" t="s">
        <v>928</v>
      </c>
      <c r="C105" s="461" t="s">
        <v>83</v>
      </c>
      <c r="D105" s="470">
        <v>0</v>
      </c>
      <c r="E105" s="470">
        <v>0</v>
      </c>
      <c r="F105" s="462">
        <f>50000000-'Details SP'!F798</f>
        <v>30000000</v>
      </c>
      <c r="G105" s="463">
        <f t="shared" si="3"/>
        <v>30000000</v>
      </c>
    </row>
    <row r="106" spans="1:7" ht="25.5" x14ac:dyDescent="0.25">
      <c r="A106" s="440" t="s">
        <v>929</v>
      </c>
      <c r="B106" s="440" t="s">
        <v>930</v>
      </c>
      <c r="C106" s="441" t="s">
        <v>84</v>
      </c>
      <c r="D106" s="442">
        <v>108699289.20999999</v>
      </c>
      <c r="E106" s="442">
        <v>25000000</v>
      </c>
      <c r="F106" s="442">
        <v>454500000</v>
      </c>
      <c r="G106" s="443">
        <f t="shared" si="3"/>
        <v>588199289.21000004</v>
      </c>
    </row>
    <row r="107" spans="1:7" ht="25.5" x14ac:dyDescent="0.25">
      <c r="A107" s="445" t="s">
        <v>931</v>
      </c>
      <c r="B107" s="465" t="s">
        <v>932</v>
      </c>
      <c r="C107" s="466" t="s">
        <v>85</v>
      </c>
      <c r="D107" s="469">
        <v>0</v>
      </c>
      <c r="E107" s="467">
        <v>6000000</v>
      </c>
      <c r="F107" s="467">
        <f>32000000+'Details SP'!G834</f>
        <v>42000000</v>
      </c>
      <c r="G107" s="468">
        <f t="shared" si="3"/>
        <v>48000000</v>
      </c>
    </row>
    <row r="108" spans="1:7" x14ac:dyDescent="0.25">
      <c r="A108" s="440" t="s">
        <v>933</v>
      </c>
      <c r="B108" s="460" t="s">
        <v>712</v>
      </c>
      <c r="C108" s="461" t="s">
        <v>256</v>
      </c>
      <c r="D108" s="462">
        <v>1565991934.51</v>
      </c>
      <c r="E108" s="462">
        <v>25000000</v>
      </c>
      <c r="F108" s="462">
        <f>418000000-'Details SP'!F881</f>
        <v>408000000</v>
      </c>
      <c r="G108" s="463">
        <f t="shared" si="3"/>
        <v>1998991934.51</v>
      </c>
    </row>
    <row r="109" spans="1:7" x14ac:dyDescent="0.25">
      <c r="A109" s="445" t="s">
        <v>934</v>
      </c>
      <c r="B109" s="440" t="s">
        <v>935</v>
      </c>
      <c r="C109" s="441" t="s">
        <v>126</v>
      </c>
      <c r="D109" s="444">
        <v>0</v>
      </c>
      <c r="E109" s="442">
        <v>6000000</v>
      </c>
      <c r="F109" s="444">
        <v>0</v>
      </c>
      <c r="G109" s="443">
        <f t="shared" si="3"/>
        <v>6000000</v>
      </c>
    </row>
    <row r="110" spans="1:7" x14ac:dyDescent="0.25">
      <c r="A110" s="440" t="s">
        <v>936</v>
      </c>
      <c r="B110" s="440" t="s">
        <v>937</v>
      </c>
      <c r="C110" s="441" t="s">
        <v>127</v>
      </c>
      <c r="D110" s="444">
        <v>0</v>
      </c>
      <c r="E110" s="442">
        <v>1200000</v>
      </c>
      <c r="F110" s="444">
        <v>0</v>
      </c>
      <c r="G110" s="443">
        <f t="shared" si="3"/>
        <v>1200000</v>
      </c>
    </row>
    <row r="111" spans="1:7" ht="25.5" x14ac:dyDescent="0.25">
      <c r="A111" s="445" t="s">
        <v>938</v>
      </c>
      <c r="B111" s="465" t="s">
        <v>939</v>
      </c>
      <c r="C111" s="466" t="s">
        <v>86</v>
      </c>
      <c r="D111" s="467">
        <v>520504075.05000001</v>
      </c>
      <c r="E111" s="467">
        <v>40000000</v>
      </c>
      <c r="F111" s="467">
        <f>66000000+'Details SP'!G933</f>
        <v>73000000</v>
      </c>
      <c r="G111" s="468">
        <f t="shared" si="3"/>
        <v>633504075.04999995</v>
      </c>
    </row>
    <row r="112" spans="1:7" ht="25.5" x14ac:dyDescent="0.25">
      <c r="A112" s="440" t="s">
        <v>940</v>
      </c>
      <c r="B112" s="440" t="s">
        <v>941</v>
      </c>
      <c r="C112" s="441" t="s">
        <v>128</v>
      </c>
      <c r="D112" s="444">
        <v>0</v>
      </c>
      <c r="E112" s="442">
        <v>28000000</v>
      </c>
      <c r="F112" s="444">
        <v>0</v>
      </c>
      <c r="G112" s="443">
        <f t="shared" si="3"/>
        <v>28000000</v>
      </c>
    </row>
    <row r="113" spans="1:7" x14ac:dyDescent="0.25">
      <c r="A113" s="445" t="s">
        <v>942</v>
      </c>
      <c r="B113" s="440" t="s">
        <v>943</v>
      </c>
      <c r="C113" s="441" t="s">
        <v>129</v>
      </c>
      <c r="D113" s="444">
        <v>0</v>
      </c>
      <c r="E113" s="442">
        <v>25000000</v>
      </c>
      <c r="F113" s="444">
        <v>0</v>
      </c>
      <c r="G113" s="443">
        <f t="shared" si="3"/>
        <v>25000000</v>
      </c>
    </row>
    <row r="114" spans="1:7" x14ac:dyDescent="0.25">
      <c r="A114" s="440" t="s">
        <v>944</v>
      </c>
      <c r="B114" s="440" t="s">
        <v>945</v>
      </c>
      <c r="C114" s="441" t="s">
        <v>87</v>
      </c>
      <c r="D114" s="442">
        <v>30543557.09</v>
      </c>
      <c r="E114" s="442">
        <v>9400000</v>
      </c>
      <c r="F114" s="442">
        <v>2000000</v>
      </c>
      <c r="G114" s="443">
        <f t="shared" si="3"/>
        <v>41943557.090000004</v>
      </c>
    </row>
    <row r="115" spans="1:7" x14ac:dyDescent="0.25">
      <c r="A115" s="495"/>
      <c r="B115" s="495"/>
      <c r="C115" s="496" t="s">
        <v>265</v>
      </c>
      <c r="D115" s="497"/>
      <c r="E115" s="497"/>
      <c r="F115" s="497"/>
      <c r="G115" s="498"/>
    </row>
    <row r="116" spans="1:7" ht="14.1" customHeight="1" x14ac:dyDescent="0.25">
      <c r="A116" s="440" t="s">
        <v>946</v>
      </c>
      <c r="B116" s="440" t="s">
        <v>947</v>
      </c>
      <c r="C116" s="441" t="s">
        <v>92</v>
      </c>
      <c r="D116" s="442">
        <v>15586999729.950001</v>
      </c>
      <c r="E116" s="442">
        <v>20000000</v>
      </c>
      <c r="F116" s="442">
        <v>50000000</v>
      </c>
      <c r="G116" s="443">
        <f t="shared" si="3"/>
        <v>15656999729.950001</v>
      </c>
    </row>
    <row r="117" spans="1:7" ht="14.1" customHeight="1" x14ac:dyDescent="0.25">
      <c r="A117" s="440" t="s">
        <v>948</v>
      </c>
      <c r="B117" s="440" t="s">
        <v>949</v>
      </c>
      <c r="C117" s="441" t="s">
        <v>130</v>
      </c>
      <c r="D117" s="444">
        <v>0</v>
      </c>
      <c r="E117" s="442">
        <v>3200000</v>
      </c>
      <c r="F117" s="444">
        <v>0</v>
      </c>
      <c r="G117" s="443">
        <f t="shared" si="3"/>
        <v>3200000</v>
      </c>
    </row>
    <row r="118" spans="1:7" ht="14.1" customHeight="1" x14ac:dyDescent="0.25">
      <c r="A118" s="440" t="s">
        <v>950</v>
      </c>
      <c r="B118" s="440" t="s">
        <v>951</v>
      </c>
      <c r="C118" s="441" t="s">
        <v>131</v>
      </c>
      <c r="D118" s="444">
        <v>0</v>
      </c>
      <c r="E118" s="442">
        <v>3200000</v>
      </c>
      <c r="F118" s="444">
        <v>0</v>
      </c>
      <c r="G118" s="443">
        <f t="shared" si="3"/>
        <v>3200000</v>
      </c>
    </row>
    <row r="119" spans="1:7" ht="14.1" customHeight="1" x14ac:dyDescent="0.25">
      <c r="A119" s="450" t="s">
        <v>952</v>
      </c>
      <c r="B119" s="450" t="s">
        <v>953</v>
      </c>
      <c r="C119" s="451" t="s">
        <v>132</v>
      </c>
      <c r="D119" s="452">
        <v>0</v>
      </c>
      <c r="E119" s="453">
        <v>3200000</v>
      </c>
      <c r="F119" s="452">
        <v>0</v>
      </c>
      <c r="G119" s="454">
        <f t="shared" si="3"/>
        <v>3200000</v>
      </c>
    </row>
    <row r="120" spans="1:7" ht="14.1" customHeight="1" x14ac:dyDescent="0.25">
      <c r="A120" s="440" t="s">
        <v>954</v>
      </c>
      <c r="B120" s="440" t="s">
        <v>955</v>
      </c>
      <c r="C120" s="441" t="s">
        <v>133</v>
      </c>
      <c r="D120" s="444">
        <v>0</v>
      </c>
      <c r="E120" s="442">
        <v>3200000</v>
      </c>
      <c r="F120" s="444">
        <v>0</v>
      </c>
      <c r="G120" s="443">
        <f t="shared" si="3"/>
        <v>3200000</v>
      </c>
    </row>
    <row r="121" spans="1:7" ht="14.1" customHeight="1" x14ac:dyDescent="0.25">
      <c r="A121" s="440" t="s">
        <v>956</v>
      </c>
      <c r="B121" s="440" t="s">
        <v>957</v>
      </c>
      <c r="C121" s="441" t="s">
        <v>134</v>
      </c>
      <c r="D121" s="444">
        <v>0</v>
      </c>
      <c r="E121" s="442">
        <v>3200000</v>
      </c>
      <c r="F121" s="444">
        <v>0</v>
      </c>
      <c r="G121" s="443">
        <f t="shared" ref="G121:G142" si="4">SUM(D121:F121)</f>
        <v>3200000</v>
      </c>
    </row>
    <row r="122" spans="1:7" ht="14.1" customHeight="1" x14ac:dyDescent="0.25">
      <c r="A122" s="440" t="s">
        <v>958</v>
      </c>
      <c r="B122" s="440" t="s">
        <v>959</v>
      </c>
      <c r="C122" s="441" t="s">
        <v>135</v>
      </c>
      <c r="D122" s="444">
        <v>0</v>
      </c>
      <c r="E122" s="442">
        <v>3200000</v>
      </c>
      <c r="F122" s="444">
        <v>0</v>
      </c>
      <c r="G122" s="443">
        <f t="shared" si="4"/>
        <v>3200000</v>
      </c>
    </row>
    <row r="123" spans="1:7" ht="14.1" customHeight="1" x14ac:dyDescent="0.25">
      <c r="A123" s="440" t="s">
        <v>960</v>
      </c>
      <c r="B123" s="440" t="s">
        <v>961</v>
      </c>
      <c r="C123" s="441" t="s">
        <v>136</v>
      </c>
      <c r="D123" s="444">
        <v>0</v>
      </c>
      <c r="E123" s="442">
        <v>3200000</v>
      </c>
      <c r="F123" s="444">
        <v>0</v>
      </c>
      <c r="G123" s="443">
        <f t="shared" si="4"/>
        <v>3200000</v>
      </c>
    </row>
    <row r="124" spans="1:7" ht="14.1" customHeight="1" x14ac:dyDescent="0.25">
      <c r="A124" s="440" t="s">
        <v>962</v>
      </c>
      <c r="B124" s="440" t="s">
        <v>963</v>
      </c>
      <c r="C124" s="441" t="s">
        <v>137</v>
      </c>
      <c r="D124" s="444">
        <v>0</v>
      </c>
      <c r="E124" s="442">
        <v>3200000</v>
      </c>
      <c r="F124" s="444">
        <v>0</v>
      </c>
      <c r="G124" s="443">
        <f t="shared" si="4"/>
        <v>3200000</v>
      </c>
    </row>
    <row r="125" spans="1:7" ht="14.1" customHeight="1" x14ac:dyDescent="0.25">
      <c r="A125" s="440" t="s">
        <v>964</v>
      </c>
      <c r="B125" s="440" t="s">
        <v>965</v>
      </c>
      <c r="C125" s="441" t="s">
        <v>138</v>
      </c>
      <c r="D125" s="444">
        <v>0</v>
      </c>
      <c r="E125" s="442">
        <v>3200000</v>
      </c>
      <c r="F125" s="444">
        <v>0</v>
      </c>
      <c r="G125" s="443">
        <f t="shared" si="4"/>
        <v>3200000</v>
      </c>
    </row>
    <row r="126" spans="1:7" ht="14.1" customHeight="1" x14ac:dyDescent="0.25">
      <c r="A126" s="440" t="s">
        <v>966</v>
      </c>
      <c r="B126" s="440" t="s">
        <v>967</v>
      </c>
      <c r="C126" s="441" t="s">
        <v>93</v>
      </c>
      <c r="D126" s="442">
        <v>31056599.420000002</v>
      </c>
      <c r="E126" s="442">
        <v>10100000</v>
      </c>
      <c r="F126" s="442">
        <v>10000000</v>
      </c>
      <c r="G126" s="443">
        <f t="shared" si="4"/>
        <v>51156599.420000002</v>
      </c>
    </row>
    <row r="127" spans="1:7" ht="25.5" x14ac:dyDescent="0.25">
      <c r="A127" s="440" t="s">
        <v>968</v>
      </c>
      <c r="B127" s="460" t="s">
        <v>969</v>
      </c>
      <c r="C127" s="461" t="s">
        <v>257</v>
      </c>
      <c r="D127" s="462">
        <v>475917085.16000003</v>
      </c>
      <c r="E127" s="462">
        <v>7500000</v>
      </c>
      <c r="F127" s="462">
        <f>130000000-'Details SP'!F975</f>
        <v>115000000</v>
      </c>
      <c r="G127" s="463">
        <f t="shared" si="4"/>
        <v>598417085.16000009</v>
      </c>
    </row>
    <row r="128" spans="1:7" ht="14.1" customHeight="1" x14ac:dyDescent="0.25">
      <c r="A128" s="465" t="s">
        <v>970</v>
      </c>
      <c r="B128" s="465" t="s">
        <v>164</v>
      </c>
      <c r="C128" s="466" t="s">
        <v>94</v>
      </c>
      <c r="D128" s="467">
        <v>509497471.35000002</v>
      </c>
      <c r="E128" s="467">
        <v>15000000</v>
      </c>
      <c r="F128" s="467">
        <f>166000000+'Details SP'!G1001</f>
        <v>167000000</v>
      </c>
      <c r="G128" s="468">
        <f t="shared" si="4"/>
        <v>691497471.35000002</v>
      </c>
    </row>
    <row r="129" spans="1:9" ht="14.1" customHeight="1" x14ac:dyDescent="0.25">
      <c r="A129" s="440" t="s">
        <v>971</v>
      </c>
      <c r="B129" s="440" t="s">
        <v>437</v>
      </c>
      <c r="C129" s="441" t="s">
        <v>258</v>
      </c>
      <c r="D129" s="442">
        <v>385241576.38</v>
      </c>
      <c r="E129" s="442">
        <v>8000000</v>
      </c>
      <c r="F129" s="444">
        <v>0</v>
      </c>
      <c r="G129" s="443">
        <f t="shared" si="4"/>
        <v>393241576.38</v>
      </c>
    </row>
    <row r="130" spans="1:9" ht="14.1" customHeight="1" x14ac:dyDescent="0.25">
      <c r="A130" s="440" t="s">
        <v>972</v>
      </c>
      <c r="B130" s="440" t="s">
        <v>973</v>
      </c>
      <c r="C130" s="441" t="s">
        <v>95</v>
      </c>
      <c r="D130" s="442">
        <v>7446332007.0600004</v>
      </c>
      <c r="E130" s="442">
        <v>16000000</v>
      </c>
      <c r="F130" s="442">
        <v>21140000</v>
      </c>
      <c r="G130" s="443">
        <f t="shared" si="4"/>
        <v>7483472007.0600004</v>
      </c>
    </row>
    <row r="131" spans="1:9" ht="14.1" customHeight="1" x14ac:dyDescent="0.25">
      <c r="A131" s="440" t="s">
        <v>974</v>
      </c>
      <c r="B131" s="440" t="s">
        <v>975</v>
      </c>
      <c r="C131" s="441" t="s">
        <v>139</v>
      </c>
      <c r="D131" s="444">
        <v>0</v>
      </c>
      <c r="E131" s="442">
        <v>5000000</v>
      </c>
      <c r="F131" s="444">
        <v>0</v>
      </c>
      <c r="G131" s="443">
        <f t="shared" si="4"/>
        <v>5000000</v>
      </c>
    </row>
    <row r="132" spans="1:9" ht="14.1" customHeight="1" x14ac:dyDescent="0.25">
      <c r="A132" s="440" t="s">
        <v>976</v>
      </c>
      <c r="B132" s="440" t="s">
        <v>977</v>
      </c>
      <c r="C132" s="441" t="s">
        <v>96</v>
      </c>
      <c r="D132" s="444">
        <v>0</v>
      </c>
      <c r="E132" s="442">
        <v>2700000</v>
      </c>
      <c r="F132" s="444">
        <v>0</v>
      </c>
      <c r="G132" s="443">
        <f t="shared" si="4"/>
        <v>2700000</v>
      </c>
    </row>
    <row r="133" spans="1:9" ht="14.1" customHeight="1" x14ac:dyDescent="0.25">
      <c r="A133" s="440" t="s">
        <v>978</v>
      </c>
      <c r="B133" s="460" t="s">
        <v>979</v>
      </c>
      <c r="C133" s="461" t="s">
        <v>97</v>
      </c>
      <c r="D133" s="470">
        <v>0</v>
      </c>
      <c r="E133" s="462">
        <v>16500000</v>
      </c>
      <c r="F133" s="462">
        <f>80400000-'Details SP'!F1031</f>
        <v>30400000</v>
      </c>
      <c r="G133" s="463">
        <f t="shared" si="4"/>
        <v>46900000</v>
      </c>
    </row>
    <row r="134" spans="1:9" ht="14.1" customHeight="1" x14ac:dyDescent="0.25">
      <c r="A134" s="440" t="s">
        <v>980</v>
      </c>
      <c r="B134" s="440" t="s">
        <v>981</v>
      </c>
      <c r="C134" s="441" t="s">
        <v>98</v>
      </c>
      <c r="D134" s="444">
        <v>0</v>
      </c>
      <c r="E134" s="442">
        <v>7000000</v>
      </c>
      <c r="F134" s="444">
        <v>0</v>
      </c>
      <c r="G134" s="443">
        <f t="shared" si="4"/>
        <v>7000000</v>
      </c>
    </row>
    <row r="135" spans="1:9" ht="14.1" customHeight="1" x14ac:dyDescent="0.25">
      <c r="A135" s="440" t="s">
        <v>982</v>
      </c>
      <c r="B135" s="460" t="s">
        <v>593</v>
      </c>
      <c r="C135" s="461" t="s">
        <v>216</v>
      </c>
      <c r="D135" s="462">
        <v>97038666.780000001</v>
      </c>
      <c r="E135" s="462">
        <v>20000000</v>
      </c>
      <c r="F135" s="462">
        <f>100000000-'Details SP'!F1067</f>
        <v>55000000</v>
      </c>
      <c r="G135" s="463">
        <f t="shared" si="4"/>
        <v>172038666.78</v>
      </c>
    </row>
    <row r="136" spans="1:9" ht="14.1" customHeight="1" x14ac:dyDescent="0.25">
      <c r="A136" s="440" t="s">
        <v>983</v>
      </c>
      <c r="B136" s="440" t="s">
        <v>984</v>
      </c>
      <c r="C136" s="441" t="s">
        <v>985</v>
      </c>
      <c r="D136" s="444">
        <v>0</v>
      </c>
      <c r="E136" s="442">
        <v>5000000</v>
      </c>
      <c r="F136" s="444">
        <v>0</v>
      </c>
      <c r="G136" s="443">
        <f t="shared" si="4"/>
        <v>5000000</v>
      </c>
    </row>
    <row r="137" spans="1:9" ht="14.1" customHeight="1" x14ac:dyDescent="0.25">
      <c r="A137" s="440" t="s">
        <v>986</v>
      </c>
      <c r="B137" s="440" t="s">
        <v>320</v>
      </c>
      <c r="C137" s="441" t="s">
        <v>99</v>
      </c>
      <c r="D137" s="442">
        <v>201137783.66</v>
      </c>
      <c r="E137" s="442">
        <v>18800000</v>
      </c>
      <c r="F137" s="442">
        <v>31750000</v>
      </c>
      <c r="G137" s="443">
        <f t="shared" si="4"/>
        <v>251687783.66</v>
      </c>
    </row>
    <row r="138" spans="1:9" ht="14.1" customHeight="1" x14ac:dyDescent="0.25">
      <c r="A138" s="440" t="s">
        <v>987</v>
      </c>
      <c r="B138" s="465" t="s">
        <v>324</v>
      </c>
      <c r="C138" s="466" t="s">
        <v>100</v>
      </c>
      <c r="D138" s="467">
        <v>223382264.50999999</v>
      </c>
      <c r="E138" s="467">
        <v>22000000</v>
      </c>
      <c r="F138" s="467">
        <f>120000000+'Details SP'!G1114</f>
        <v>238000000</v>
      </c>
      <c r="G138" s="468">
        <f t="shared" si="4"/>
        <v>483382264.50999999</v>
      </c>
    </row>
    <row r="139" spans="1:9" ht="25.5" x14ac:dyDescent="0.25">
      <c r="A139" s="440" t="s">
        <v>988</v>
      </c>
      <c r="B139" s="465" t="s">
        <v>989</v>
      </c>
      <c r="C139" s="466" t="s">
        <v>140</v>
      </c>
      <c r="D139" s="467">
        <v>59715554.899999999</v>
      </c>
      <c r="E139" s="467">
        <v>36000000</v>
      </c>
      <c r="F139" s="467">
        <f>50000000+'Details SP'!G1130</f>
        <v>50500000</v>
      </c>
      <c r="G139" s="468">
        <f t="shared" si="4"/>
        <v>146215554.90000001</v>
      </c>
      <c r="I139" s="11"/>
    </row>
    <row r="140" spans="1:9" ht="14.1" customHeight="1" x14ac:dyDescent="0.25">
      <c r="A140" s="440" t="s">
        <v>990</v>
      </c>
      <c r="B140" s="440" t="s">
        <v>991</v>
      </c>
      <c r="C140" s="441" t="s">
        <v>101</v>
      </c>
      <c r="D140" s="444">
        <v>0</v>
      </c>
      <c r="E140" s="442">
        <v>3100000</v>
      </c>
      <c r="F140" s="444">
        <v>0</v>
      </c>
      <c r="G140" s="443">
        <f t="shared" si="4"/>
        <v>3100000</v>
      </c>
    </row>
    <row r="141" spans="1:9" ht="14.1" customHeight="1" x14ac:dyDescent="0.25">
      <c r="A141" s="440" t="s">
        <v>992</v>
      </c>
      <c r="B141" s="440" t="s">
        <v>993</v>
      </c>
      <c r="C141" s="441" t="s">
        <v>259</v>
      </c>
      <c r="D141" s="444">
        <v>0</v>
      </c>
      <c r="E141" s="442">
        <v>22000000</v>
      </c>
      <c r="F141" s="442">
        <v>5000000</v>
      </c>
      <c r="G141" s="443">
        <f t="shared" si="4"/>
        <v>27000000</v>
      </c>
    </row>
    <row r="142" spans="1:9" ht="25.5" x14ac:dyDescent="0.25">
      <c r="A142" s="440" t="s">
        <v>994</v>
      </c>
      <c r="B142" s="440" t="s">
        <v>995</v>
      </c>
      <c r="C142" s="441" t="s">
        <v>102</v>
      </c>
      <c r="D142" s="444">
        <v>0</v>
      </c>
      <c r="E142" s="442">
        <v>7200000</v>
      </c>
      <c r="F142" s="442">
        <v>15000000</v>
      </c>
      <c r="G142" s="443">
        <f t="shared" si="4"/>
        <v>22200000</v>
      </c>
      <c r="I142" s="11"/>
    </row>
    <row r="143" spans="1:9" ht="12.95" customHeight="1" x14ac:dyDescent="0.25">
      <c r="A143" s="440" t="s">
        <v>996</v>
      </c>
      <c r="B143" s="455"/>
      <c r="C143" s="466" t="s">
        <v>260</v>
      </c>
      <c r="D143" s="472"/>
      <c r="E143" s="473"/>
      <c r="F143" s="472"/>
      <c r="G143" s="468">
        <f>7561500000+'Details SP'!G1167</f>
        <v>8111500000</v>
      </c>
    </row>
    <row r="144" spans="1:9" ht="12.95" customHeight="1" x14ac:dyDescent="0.25">
      <c r="A144" s="440" t="s">
        <v>997</v>
      </c>
      <c r="B144" s="455"/>
      <c r="C144" s="441" t="s">
        <v>261</v>
      </c>
      <c r="D144" s="456"/>
      <c r="E144" s="457"/>
      <c r="F144" s="456"/>
      <c r="G144" s="443">
        <v>130000000</v>
      </c>
    </row>
    <row r="145" spans="1:7" ht="12.95" customHeight="1" x14ac:dyDescent="0.25">
      <c r="A145" s="440" t="s">
        <v>998</v>
      </c>
      <c r="B145" s="471"/>
      <c r="C145" s="466" t="s">
        <v>141</v>
      </c>
      <c r="D145" s="472"/>
      <c r="E145" s="473"/>
      <c r="F145" s="472"/>
      <c r="G145" s="468">
        <f>18159449200+'Details SP'!G1183-'Details SP'!F1183</f>
        <v>15759449200</v>
      </c>
    </row>
    <row r="146" spans="1:7" ht="12.95" customHeight="1" x14ac:dyDescent="0.25">
      <c r="A146" s="440" t="s">
        <v>999</v>
      </c>
      <c r="B146" s="455"/>
      <c r="C146" s="461" t="s">
        <v>142</v>
      </c>
      <c r="D146" s="462">
        <f>163230747.22-'Pooled fund personnel'!H9</f>
        <v>5682207.2199999988</v>
      </c>
      <c r="E146" s="457"/>
      <c r="F146" s="456"/>
      <c r="G146" s="463">
        <f>SUM(D146:F146)</f>
        <v>5682207.2199999988</v>
      </c>
    </row>
    <row r="147" spans="1:7" x14ac:dyDescent="0.25">
      <c r="A147" s="638" t="s">
        <v>3</v>
      </c>
      <c r="B147" s="638"/>
      <c r="C147" s="638"/>
      <c r="D147" s="494">
        <f>SUM(D6:D146)</f>
        <v>36191533708.160004</v>
      </c>
      <c r="E147" s="494">
        <f>SUM(E6:E146)</f>
        <v>4562700000</v>
      </c>
      <c r="F147" s="494">
        <f>SUM(F6:F146)</f>
        <v>23599310296</v>
      </c>
      <c r="G147" s="494">
        <f>SUM(G6:G146)</f>
        <v>88354493204.160004</v>
      </c>
    </row>
    <row r="148" spans="1:7" x14ac:dyDescent="0.25">
      <c r="C148" s="500" t="s">
        <v>266</v>
      </c>
    </row>
    <row r="149" spans="1:7" x14ac:dyDescent="0.25">
      <c r="E149" s="599">
        <f>D147+E147+F147+G143+G144+G145+'Fourth Schedule'!E119+'Second Schedule'!D9+'First Schedule'!E19</f>
        <v>194002899000</v>
      </c>
    </row>
    <row r="150" spans="1:7" x14ac:dyDescent="0.25">
      <c r="E150" s="600">
        <v>193902899000</v>
      </c>
    </row>
    <row r="151" spans="1:7" x14ac:dyDescent="0.25">
      <c r="A151" s="601"/>
      <c r="B151" s="601"/>
      <c r="C151" s="601"/>
      <c r="D151" s="601"/>
      <c r="E151" s="602">
        <f>E150-E149</f>
        <v>-100000000</v>
      </c>
      <c r="F151" s="601"/>
      <c r="G151" s="601"/>
    </row>
  </sheetData>
  <mergeCells count="5">
    <mergeCell ref="A147:C147"/>
    <mergeCell ref="A1:G1"/>
    <mergeCell ref="A2:G2"/>
    <mergeCell ref="A3:G3"/>
    <mergeCell ref="A4:G4"/>
  </mergeCells>
  <pageMargins left="0.5" right="0.1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opLeftCell="A50" workbookViewId="0">
      <selection activeCell="G57" sqref="G57:G61"/>
    </sheetView>
  </sheetViews>
  <sheetFormatPr defaultRowHeight="18.75" customHeight="1" x14ac:dyDescent="0.25"/>
  <cols>
    <col min="1" max="1" width="5.42578125" style="458" bestFit="1" customWidth="1"/>
    <col min="2" max="2" width="12" style="458" bestFit="1" customWidth="1"/>
    <col min="3" max="3" width="55.85546875" style="458" customWidth="1"/>
    <col min="4" max="10" width="21.85546875" customWidth="1"/>
  </cols>
  <sheetData>
    <row r="1" spans="1:5" ht="12.75" customHeight="1" x14ac:dyDescent="0.25">
      <c r="A1" s="639" t="s">
        <v>745</v>
      </c>
      <c r="B1" s="639"/>
      <c r="C1" s="639"/>
      <c r="D1" s="639"/>
      <c r="E1" s="639"/>
    </row>
    <row r="2" spans="1:5" ht="18.75" customHeight="1" x14ac:dyDescent="0.25">
      <c r="A2" s="639" t="s">
        <v>1000</v>
      </c>
      <c r="B2" s="639"/>
      <c r="C2" s="639"/>
      <c r="D2" s="639"/>
      <c r="E2" s="639"/>
    </row>
    <row r="3" spans="1:5" ht="17.25" customHeight="1" x14ac:dyDescent="0.25">
      <c r="A3" s="639" t="s">
        <v>1179</v>
      </c>
      <c r="B3" s="639"/>
      <c r="C3" s="639"/>
      <c r="D3" s="639"/>
      <c r="E3" s="639"/>
    </row>
    <row r="4" spans="1:5" ht="18.75" customHeight="1" x14ac:dyDescent="0.25">
      <c r="A4" s="639" t="s">
        <v>143</v>
      </c>
      <c r="B4" s="639"/>
      <c r="C4" s="639"/>
      <c r="D4" s="639"/>
      <c r="E4" s="639"/>
    </row>
    <row r="5" spans="1:5" ht="18.75" customHeight="1" x14ac:dyDescent="0.25">
      <c r="A5" s="438" t="s">
        <v>0</v>
      </c>
      <c r="B5" s="438" t="s">
        <v>747</v>
      </c>
      <c r="C5" s="438" t="s">
        <v>748</v>
      </c>
      <c r="D5" s="439" t="s">
        <v>1001</v>
      </c>
      <c r="E5" s="439" t="s">
        <v>3</v>
      </c>
    </row>
    <row r="6" spans="1:5" ht="24.75" customHeight="1" x14ac:dyDescent="0.25">
      <c r="A6" s="440" t="s">
        <v>155</v>
      </c>
      <c r="B6" s="440" t="s">
        <v>752</v>
      </c>
      <c r="C6" s="441" t="s">
        <v>39</v>
      </c>
      <c r="D6" s="442">
        <v>200000000</v>
      </c>
      <c r="E6" s="443">
        <f t="shared" ref="E6:E25" si="0">SUM(D6:D6)</f>
        <v>200000000</v>
      </c>
    </row>
    <row r="7" spans="1:5" ht="18.75" customHeight="1" x14ac:dyDescent="0.25">
      <c r="A7" s="440" t="s">
        <v>156</v>
      </c>
      <c r="B7" s="460" t="s">
        <v>753</v>
      </c>
      <c r="C7" s="461" t="s">
        <v>40</v>
      </c>
      <c r="D7" s="462">
        <f>2178000000-'Pooled Fund detail Capital'!H96</f>
        <v>228000000</v>
      </c>
      <c r="E7" s="463">
        <f t="shared" si="0"/>
        <v>228000000</v>
      </c>
    </row>
    <row r="8" spans="1:5" ht="18.75" customHeight="1" x14ac:dyDescent="0.25">
      <c r="A8" s="440" t="s">
        <v>157</v>
      </c>
      <c r="B8" s="440" t="s">
        <v>756</v>
      </c>
      <c r="C8" s="441" t="s">
        <v>41</v>
      </c>
      <c r="D8" s="442">
        <v>5000000</v>
      </c>
      <c r="E8" s="443">
        <f t="shared" si="0"/>
        <v>5000000</v>
      </c>
    </row>
    <row r="9" spans="1:5" ht="18.75" customHeight="1" x14ac:dyDescent="0.25">
      <c r="A9" s="440" t="s">
        <v>20</v>
      </c>
      <c r="B9" s="440" t="s">
        <v>1002</v>
      </c>
      <c r="C9" s="441" t="s">
        <v>42</v>
      </c>
      <c r="D9" s="442">
        <v>300000000</v>
      </c>
      <c r="E9" s="443">
        <f t="shared" si="0"/>
        <v>300000000</v>
      </c>
    </row>
    <row r="10" spans="1:5" ht="18.75" customHeight="1" x14ac:dyDescent="0.25">
      <c r="A10" s="440" t="s">
        <v>158</v>
      </c>
      <c r="B10" s="440" t="s">
        <v>757</v>
      </c>
      <c r="C10" s="441" t="s">
        <v>758</v>
      </c>
      <c r="D10" s="442">
        <v>67000000</v>
      </c>
      <c r="E10" s="443">
        <f t="shared" si="0"/>
        <v>67000000</v>
      </c>
    </row>
    <row r="11" spans="1:5" ht="18.75" customHeight="1" x14ac:dyDescent="0.25">
      <c r="A11" s="440" t="s">
        <v>21</v>
      </c>
      <c r="B11" s="460" t="s">
        <v>1003</v>
      </c>
      <c r="C11" s="461" t="s">
        <v>217</v>
      </c>
      <c r="D11" s="462">
        <f>1200000000-'Pooled Fund detail Capital'!H90</f>
        <v>775000000</v>
      </c>
      <c r="E11" s="463">
        <f t="shared" si="0"/>
        <v>775000000</v>
      </c>
    </row>
    <row r="12" spans="1:5" ht="18.75" customHeight="1" x14ac:dyDescent="0.25">
      <c r="A12" s="440" t="s">
        <v>22</v>
      </c>
      <c r="B12" s="440" t="s">
        <v>761</v>
      </c>
      <c r="C12" s="441" t="s">
        <v>25</v>
      </c>
      <c r="D12" s="442">
        <v>1290000000</v>
      </c>
      <c r="E12" s="443">
        <f t="shared" si="0"/>
        <v>1290000000</v>
      </c>
    </row>
    <row r="13" spans="1:5" ht="18.75" customHeight="1" x14ac:dyDescent="0.25">
      <c r="A13" s="440" t="s">
        <v>760</v>
      </c>
      <c r="B13" s="440" t="s">
        <v>764</v>
      </c>
      <c r="C13" s="441" t="s">
        <v>105</v>
      </c>
      <c r="D13" s="442">
        <v>7000000</v>
      </c>
      <c r="E13" s="443">
        <f t="shared" si="0"/>
        <v>7000000</v>
      </c>
    </row>
    <row r="14" spans="1:5" ht="18.75" customHeight="1" x14ac:dyDescent="0.25">
      <c r="A14" s="440" t="s">
        <v>30</v>
      </c>
      <c r="B14" s="460" t="s">
        <v>766</v>
      </c>
      <c r="C14" s="461" t="s">
        <v>504</v>
      </c>
      <c r="D14" s="462">
        <f>2826600000-'Pooled Fund detail Capital'!H44</f>
        <v>1526600000</v>
      </c>
      <c r="E14" s="463">
        <f t="shared" si="0"/>
        <v>1526600000</v>
      </c>
    </row>
    <row r="15" spans="1:5" ht="18.75" customHeight="1" x14ac:dyDescent="0.25">
      <c r="A15" s="440" t="s">
        <v>763</v>
      </c>
      <c r="B15" s="440" t="s">
        <v>768</v>
      </c>
      <c r="C15" s="441" t="s">
        <v>43</v>
      </c>
      <c r="D15" s="442">
        <v>12000000</v>
      </c>
      <c r="E15" s="443">
        <f t="shared" si="0"/>
        <v>12000000</v>
      </c>
    </row>
    <row r="16" spans="1:5" ht="18.75" customHeight="1" x14ac:dyDescent="0.25">
      <c r="A16" s="440" t="s">
        <v>765</v>
      </c>
      <c r="B16" s="440" t="s">
        <v>770</v>
      </c>
      <c r="C16" s="441" t="s">
        <v>44</v>
      </c>
      <c r="D16" s="442">
        <v>5000000</v>
      </c>
      <c r="E16" s="443">
        <f t="shared" si="0"/>
        <v>5000000</v>
      </c>
    </row>
    <row r="17" spans="1:5" ht="18.75" customHeight="1" x14ac:dyDescent="0.25">
      <c r="A17" s="440" t="s">
        <v>767</v>
      </c>
      <c r="B17" s="440" t="s">
        <v>772</v>
      </c>
      <c r="C17" s="441" t="s">
        <v>45</v>
      </c>
      <c r="D17" s="442">
        <v>135000000</v>
      </c>
      <c r="E17" s="443">
        <f t="shared" si="0"/>
        <v>135000000</v>
      </c>
    </row>
    <row r="18" spans="1:5" ht="18.75" customHeight="1" x14ac:dyDescent="0.25">
      <c r="A18" s="440" t="s">
        <v>769</v>
      </c>
      <c r="B18" s="440" t="s">
        <v>774</v>
      </c>
      <c r="C18" s="441" t="s">
        <v>160</v>
      </c>
      <c r="D18" s="442">
        <v>221500000</v>
      </c>
      <c r="E18" s="443">
        <f t="shared" si="0"/>
        <v>221500000</v>
      </c>
    </row>
    <row r="19" spans="1:5" ht="18.75" customHeight="1" x14ac:dyDescent="0.25">
      <c r="A19" s="440" t="s">
        <v>771</v>
      </c>
      <c r="B19" s="460" t="s">
        <v>776</v>
      </c>
      <c r="C19" s="461" t="s">
        <v>106</v>
      </c>
      <c r="D19" s="462">
        <f>53000000-'Pooled Fund detail Capital'!H84</f>
        <v>23000000</v>
      </c>
      <c r="E19" s="463">
        <f t="shared" si="0"/>
        <v>23000000</v>
      </c>
    </row>
    <row r="20" spans="1:5" ht="18.75" customHeight="1" x14ac:dyDescent="0.25">
      <c r="A20" s="440" t="s">
        <v>773</v>
      </c>
      <c r="B20" s="440" t="s">
        <v>778</v>
      </c>
      <c r="C20" s="441" t="s">
        <v>46</v>
      </c>
      <c r="D20" s="442">
        <v>85000000</v>
      </c>
      <c r="E20" s="443">
        <f t="shared" si="0"/>
        <v>85000000</v>
      </c>
    </row>
    <row r="21" spans="1:5" ht="18.75" customHeight="1" x14ac:dyDescent="0.25">
      <c r="A21" s="440" t="s">
        <v>775</v>
      </c>
      <c r="B21" s="440" t="s">
        <v>780</v>
      </c>
      <c r="C21" s="441" t="s">
        <v>47</v>
      </c>
      <c r="D21" s="442">
        <v>12000000</v>
      </c>
      <c r="E21" s="443">
        <f t="shared" si="0"/>
        <v>12000000</v>
      </c>
    </row>
    <row r="22" spans="1:5" ht="18.75" customHeight="1" x14ac:dyDescent="0.25">
      <c r="A22" s="440" t="s">
        <v>777</v>
      </c>
      <c r="B22" s="440" t="s">
        <v>782</v>
      </c>
      <c r="C22" s="441" t="s">
        <v>245</v>
      </c>
      <c r="D22" s="442">
        <v>150000000</v>
      </c>
      <c r="E22" s="443">
        <f t="shared" si="0"/>
        <v>150000000</v>
      </c>
    </row>
    <row r="23" spans="1:5" ht="18.75" customHeight="1" x14ac:dyDescent="0.25">
      <c r="A23" s="440" t="s">
        <v>779</v>
      </c>
      <c r="B23" s="440" t="s">
        <v>784</v>
      </c>
      <c r="C23" s="441" t="s">
        <v>48</v>
      </c>
      <c r="D23" s="442">
        <v>10000000</v>
      </c>
      <c r="E23" s="443">
        <f t="shared" si="0"/>
        <v>10000000</v>
      </c>
    </row>
    <row r="24" spans="1:5" ht="25.5" x14ac:dyDescent="0.25">
      <c r="A24" s="440" t="s">
        <v>783</v>
      </c>
      <c r="B24" s="440" t="s">
        <v>786</v>
      </c>
      <c r="C24" s="441" t="s">
        <v>49</v>
      </c>
      <c r="D24" s="442">
        <v>6522722400</v>
      </c>
      <c r="E24" s="443">
        <f t="shared" si="0"/>
        <v>6522722400</v>
      </c>
    </row>
    <row r="25" spans="1:5" ht="18.75" customHeight="1" x14ac:dyDescent="0.25">
      <c r="A25" s="440" t="s">
        <v>1004</v>
      </c>
      <c r="B25" s="440" t="s">
        <v>788</v>
      </c>
      <c r="C25" s="441" t="s">
        <v>50</v>
      </c>
      <c r="D25" s="442">
        <v>981140000</v>
      </c>
      <c r="E25" s="443">
        <f t="shared" si="0"/>
        <v>981140000</v>
      </c>
    </row>
    <row r="26" spans="1:5" ht="18.75" customHeight="1" x14ac:dyDescent="0.25">
      <c r="A26" s="440" t="s">
        <v>785</v>
      </c>
      <c r="B26" s="440" t="s">
        <v>790</v>
      </c>
      <c r="C26" s="441" t="s">
        <v>51</v>
      </c>
      <c r="D26" s="442">
        <v>20349000</v>
      </c>
      <c r="E26" s="443">
        <f t="shared" ref="E26:E52" si="1">SUM(D26:D26)</f>
        <v>20349000</v>
      </c>
    </row>
    <row r="27" spans="1:5" ht="18.75" customHeight="1" x14ac:dyDescent="0.25">
      <c r="A27" s="495"/>
      <c r="B27" s="495"/>
      <c r="C27" s="496" t="s">
        <v>149</v>
      </c>
      <c r="D27" s="497"/>
      <c r="E27" s="498"/>
    </row>
    <row r="28" spans="1:5" ht="18.75" customHeight="1" x14ac:dyDescent="0.25">
      <c r="A28" s="440" t="s">
        <v>787</v>
      </c>
      <c r="B28" s="440" t="s">
        <v>798</v>
      </c>
      <c r="C28" s="441" t="s">
        <v>221</v>
      </c>
      <c r="D28" s="442">
        <v>150000000</v>
      </c>
      <c r="E28" s="443">
        <f t="shared" si="1"/>
        <v>150000000</v>
      </c>
    </row>
    <row r="29" spans="1:5" ht="18.75" customHeight="1" x14ac:dyDescent="0.25">
      <c r="A29" s="440" t="s">
        <v>789</v>
      </c>
      <c r="B29" s="465" t="s">
        <v>800</v>
      </c>
      <c r="C29" s="466" t="s">
        <v>52</v>
      </c>
      <c r="D29" s="467">
        <f>370000000+'Project detail capital'!F9</f>
        <v>670000000</v>
      </c>
      <c r="E29" s="468">
        <f t="shared" si="1"/>
        <v>670000000</v>
      </c>
    </row>
    <row r="30" spans="1:5" ht="16.5" customHeight="1" x14ac:dyDescent="0.25">
      <c r="A30" s="440" t="s">
        <v>791</v>
      </c>
      <c r="B30" s="440" t="s">
        <v>802</v>
      </c>
      <c r="C30" s="441" t="s">
        <v>24</v>
      </c>
      <c r="D30" s="442">
        <v>70000000</v>
      </c>
      <c r="E30" s="443">
        <f t="shared" si="1"/>
        <v>70000000</v>
      </c>
    </row>
    <row r="31" spans="1:5" ht="18.75" customHeight="1" x14ac:dyDescent="0.25">
      <c r="A31" s="440" t="s">
        <v>793</v>
      </c>
      <c r="B31" s="440" t="s">
        <v>804</v>
      </c>
      <c r="C31" s="441" t="s">
        <v>110</v>
      </c>
      <c r="D31" s="442">
        <v>7000000</v>
      </c>
      <c r="E31" s="443">
        <f t="shared" si="1"/>
        <v>7000000</v>
      </c>
    </row>
    <row r="32" spans="1:5" ht="18.75" customHeight="1" x14ac:dyDescent="0.25">
      <c r="A32" s="440" t="s">
        <v>795</v>
      </c>
      <c r="B32" s="440" t="s">
        <v>1005</v>
      </c>
      <c r="C32" s="441" t="s">
        <v>262</v>
      </c>
      <c r="D32" s="442">
        <v>15000000</v>
      </c>
      <c r="E32" s="443">
        <f t="shared" si="1"/>
        <v>15000000</v>
      </c>
    </row>
    <row r="33" spans="1:5" ht="18.75" customHeight="1" x14ac:dyDescent="0.25">
      <c r="A33" s="440" t="s">
        <v>797</v>
      </c>
      <c r="B33" s="440" t="s">
        <v>806</v>
      </c>
      <c r="C33" s="441" t="s">
        <v>111</v>
      </c>
      <c r="D33" s="442">
        <v>60000000</v>
      </c>
      <c r="E33" s="443">
        <f t="shared" si="1"/>
        <v>60000000</v>
      </c>
    </row>
    <row r="34" spans="1:5" ht="18.75" customHeight="1" x14ac:dyDescent="0.25">
      <c r="A34" s="440" t="s">
        <v>799</v>
      </c>
      <c r="B34" s="440" t="s">
        <v>810</v>
      </c>
      <c r="C34" s="441" t="s">
        <v>53</v>
      </c>
      <c r="D34" s="442">
        <v>10000000</v>
      </c>
      <c r="E34" s="443">
        <f t="shared" si="1"/>
        <v>10000000</v>
      </c>
    </row>
    <row r="35" spans="1:5" ht="18.75" customHeight="1" x14ac:dyDescent="0.25">
      <c r="A35" s="440" t="s">
        <v>801</v>
      </c>
      <c r="B35" s="440" t="s">
        <v>814</v>
      </c>
      <c r="C35" s="441" t="s">
        <v>54</v>
      </c>
      <c r="D35" s="442">
        <v>20000000</v>
      </c>
      <c r="E35" s="443">
        <f t="shared" si="1"/>
        <v>20000000</v>
      </c>
    </row>
    <row r="36" spans="1:5" ht="18.75" customHeight="1" x14ac:dyDescent="0.25">
      <c r="A36" s="440" t="s">
        <v>803</v>
      </c>
      <c r="B36" s="440" t="s">
        <v>816</v>
      </c>
      <c r="C36" s="441" t="s">
        <v>55</v>
      </c>
      <c r="D36" s="442">
        <v>14450000</v>
      </c>
      <c r="E36" s="443">
        <f t="shared" si="1"/>
        <v>14450000</v>
      </c>
    </row>
    <row r="37" spans="1:5" ht="18.75" customHeight="1" x14ac:dyDescent="0.25">
      <c r="A37" s="440" t="s">
        <v>805</v>
      </c>
      <c r="B37" s="440" t="s">
        <v>822</v>
      </c>
      <c r="C37" s="441" t="s">
        <v>115</v>
      </c>
      <c r="D37" s="442">
        <v>5000000</v>
      </c>
      <c r="E37" s="443">
        <f t="shared" si="1"/>
        <v>5000000</v>
      </c>
    </row>
    <row r="38" spans="1:5" ht="18.75" customHeight="1" x14ac:dyDescent="0.25">
      <c r="A38" s="440" t="s">
        <v>807</v>
      </c>
      <c r="B38" s="440" t="s">
        <v>824</v>
      </c>
      <c r="C38" s="441" t="s">
        <v>56</v>
      </c>
      <c r="D38" s="442">
        <v>15000000</v>
      </c>
      <c r="E38" s="443">
        <f t="shared" si="1"/>
        <v>15000000</v>
      </c>
    </row>
    <row r="39" spans="1:5" ht="18.75" customHeight="1" x14ac:dyDescent="0.25">
      <c r="A39" s="440" t="s">
        <v>809</v>
      </c>
      <c r="B39" s="465" t="s">
        <v>285</v>
      </c>
      <c r="C39" s="466" t="s">
        <v>57</v>
      </c>
      <c r="D39" s="467">
        <f>8000000+'Project detail capital'!F14</f>
        <v>13400000</v>
      </c>
      <c r="E39" s="468">
        <f t="shared" si="1"/>
        <v>13400000</v>
      </c>
    </row>
    <row r="40" spans="1:5" ht="18.75" customHeight="1" x14ac:dyDescent="0.25">
      <c r="A40" s="440" t="s">
        <v>811</v>
      </c>
      <c r="B40" s="440" t="s">
        <v>827</v>
      </c>
      <c r="C40" s="441" t="s">
        <v>58</v>
      </c>
      <c r="D40" s="442">
        <v>13000000</v>
      </c>
      <c r="E40" s="443">
        <f t="shared" si="1"/>
        <v>13000000</v>
      </c>
    </row>
    <row r="41" spans="1:5" ht="18.75" customHeight="1" x14ac:dyDescent="0.25">
      <c r="A41" s="440" t="s">
        <v>813</v>
      </c>
      <c r="B41" s="460" t="s">
        <v>829</v>
      </c>
      <c r="C41" s="461" t="s">
        <v>59</v>
      </c>
      <c r="D41" s="462">
        <f>1500000000-'Pooled Fund detail Capital'!H67</f>
        <v>500000000</v>
      </c>
      <c r="E41" s="463">
        <f t="shared" si="1"/>
        <v>500000000</v>
      </c>
    </row>
    <row r="42" spans="1:5" ht="18.75" customHeight="1" x14ac:dyDescent="0.25">
      <c r="A42" s="440" t="s">
        <v>815</v>
      </c>
      <c r="B42" s="465" t="s">
        <v>385</v>
      </c>
      <c r="C42" s="466" t="s">
        <v>247</v>
      </c>
      <c r="D42" s="467">
        <f>1583000000+'Project detail capital'!F21</f>
        <v>1589000000</v>
      </c>
      <c r="E42" s="468">
        <f t="shared" si="1"/>
        <v>1589000000</v>
      </c>
    </row>
    <row r="43" spans="1:5" ht="18.75" customHeight="1" x14ac:dyDescent="0.25">
      <c r="A43" s="440" t="s">
        <v>817</v>
      </c>
      <c r="B43" s="440" t="s">
        <v>836</v>
      </c>
      <c r="C43" s="441" t="s">
        <v>60</v>
      </c>
      <c r="D43" s="442">
        <v>448355000</v>
      </c>
      <c r="E43" s="443">
        <f t="shared" si="1"/>
        <v>448355000</v>
      </c>
    </row>
    <row r="44" spans="1:5" ht="18.75" customHeight="1" x14ac:dyDescent="0.25">
      <c r="A44" s="440" t="s">
        <v>819</v>
      </c>
      <c r="B44" s="465" t="s">
        <v>422</v>
      </c>
      <c r="C44" s="466" t="s">
        <v>61</v>
      </c>
      <c r="D44" s="467">
        <f>50000000+'Project detail capital'!F25</f>
        <v>52000000</v>
      </c>
      <c r="E44" s="468">
        <f t="shared" si="1"/>
        <v>52000000</v>
      </c>
    </row>
    <row r="45" spans="1:5" ht="18.75" customHeight="1" x14ac:dyDescent="0.25">
      <c r="A45" s="440" t="s">
        <v>821</v>
      </c>
      <c r="B45" s="440" t="s">
        <v>841</v>
      </c>
      <c r="C45" s="441" t="s">
        <v>62</v>
      </c>
      <c r="D45" s="442">
        <v>15000000</v>
      </c>
      <c r="E45" s="443">
        <f t="shared" si="1"/>
        <v>15000000</v>
      </c>
    </row>
    <row r="46" spans="1:5" ht="18.75" customHeight="1" x14ac:dyDescent="0.25">
      <c r="A46" s="440" t="s">
        <v>823</v>
      </c>
      <c r="B46" s="460" t="s">
        <v>397</v>
      </c>
      <c r="C46" s="461" t="s">
        <v>63</v>
      </c>
      <c r="D46" s="462">
        <f>350400000-'Pooled Fund detail Capital'!H16+'Project detail capital'!F29</f>
        <v>270400000</v>
      </c>
      <c r="E46" s="468">
        <f t="shared" si="1"/>
        <v>270400000</v>
      </c>
    </row>
    <row r="47" spans="1:5" ht="18.75" customHeight="1" x14ac:dyDescent="0.25">
      <c r="A47" s="440" t="s">
        <v>825</v>
      </c>
      <c r="B47" s="465" t="s">
        <v>844</v>
      </c>
      <c r="C47" s="466" t="s">
        <v>64</v>
      </c>
      <c r="D47" s="467">
        <f>5145800000+'Project detail capital'!F33</f>
        <v>5148800000</v>
      </c>
      <c r="E47" s="468">
        <f t="shared" si="1"/>
        <v>5148800000</v>
      </c>
    </row>
    <row r="48" spans="1:5" ht="18.75" customHeight="1" x14ac:dyDescent="0.25">
      <c r="A48" s="440" t="s">
        <v>826</v>
      </c>
      <c r="B48" s="440" t="s">
        <v>851</v>
      </c>
      <c r="C48" s="441" t="s">
        <v>65</v>
      </c>
      <c r="D48" s="442">
        <v>10000000</v>
      </c>
      <c r="E48" s="443">
        <f t="shared" si="1"/>
        <v>10000000</v>
      </c>
    </row>
    <row r="49" spans="1:7" ht="18.75" customHeight="1" x14ac:dyDescent="0.25">
      <c r="A49" s="440" t="s">
        <v>828</v>
      </c>
      <c r="B49" s="440" t="s">
        <v>853</v>
      </c>
      <c r="C49" s="441" t="s">
        <v>66</v>
      </c>
      <c r="D49" s="442">
        <v>600000000</v>
      </c>
      <c r="E49" s="443">
        <f t="shared" si="1"/>
        <v>600000000</v>
      </c>
    </row>
    <row r="50" spans="1:7" ht="18.75" customHeight="1" x14ac:dyDescent="0.25">
      <c r="A50" s="440" t="s">
        <v>830</v>
      </c>
      <c r="B50" s="440" t="s">
        <v>855</v>
      </c>
      <c r="C50" s="441" t="s">
        <v>67</v>
      </c>
      <c r="D50" s="442">
        <v>544900000</v>
      </c>
      <c r="E50" s="443">
        <f t="shared" si="1"/>
        <v>544900000</v>
      </c>
    </row>
    <row r="51" spans="1:7" ht="18.75" customHeight="1" x14ac:dyDescent="0.25">
      <c r="A51" s="440" t="s">
        <v>832</v>
      </c>
      <c r="B51" s="440" t="s">
        <v>857</v>
      </c>
      <c r="C51" s="441" t="s">
        <v>248</v>
      </c>
      <c r="D51" s="442">
        <v>820000000</v>
      </c>
      <c r="E51" s="443">
        <f t="shared" si="1"/>
        <v>820000000</v>
      </c>
    </row>
    <row r="52" spans="1:7" ht="13.5" customHeight="1" x14ac:dyDescent="0.25">
      <c r="A52" s="440" t="s">
        <v>833</v>
      </c>
      <c r="B52" s="440" t="s">
        <v>859</v>
      </c>
      <c r="C52" s="441" t="s">
        <v>119</v>
      </c>
      <c r="D52" s="442">
        <v>10000000</v>
      </c>
      <c r="E52" s="443">
        <f t="shared" si="1"/>
        <v>10000000</v>
      </c>
    </row>
    <row r="53" spans="1:7" ht="18.75" customHeight="1" x14ac:dyDescent="0.25">
      <c r="A53" s="459">
        <v>48</v>
      </c>
      <c r="B53" s="440" t="s">
        <v>861</v>
      </c>
      <c r="C53" s="441" t="s">
        <v>68</v>
      </c>
      <c r="D53" s="442">
        <v>20000000</v>
      </c>
      <c r="E53" s="443">
        <f t="shared" ref="E53:E81" si="2">SUM(D53:D53)</f>
        <v>20000000</v>
      </c>
    </row>
    <row r="54" spans="1:7" ht="18.75" customHeight="1" x14ac:dyDescent="0.25">
      <c r="A54" s="501"/>
      <c r="B54" s="495"/>
      <c r="C54" s="496" t="s">
        <v>147</v>
      </c>
      <c r="D54" s="497"/>
      <c r="E54" s="498"/>
    </row>
    <row r="55" spans="1:7" ht="18.75" customHeight="1" x14ac:dyDescent="0.25">
      <c r="A55" s="440" t="s">
        <v>837</v>
      </c>
      <c r="B55" s="460" t="s">
        <v>863</v>
      </c>
      <c r="C55" s="461" t="s">
        <v>69</v>
      </c>
      <c r="D55" s="462">
        <f>352000000-'Pooled Fund detail Capital'!H77</f>
        <v>222000000</v>
      </c>
      <c r="E55" s="463">
        <f t="shared" si="2"/>
        <v>222000000</v>
      </c>
    </row>
    <row r="56" spans="1:7" ht="17.25" customHeight="1" x14ac:dyDescent="0.25">
      <c r="A56" s="459">
        <v>49</v>
      </c>
      <c r="B56" s="460" t="s">
        <v>867</v>
      </c>
      <c r="C56" s="461" t="s">
        <v>250</v>
      </c>
      <c r="D56" s="462">
        <f>706600000-'Pooled Fund detail Capital'!H73</f>
        <v>306600000</v>
      </c>
      <c r="E56" s="463">
        <f t="shared" si="2"/>
        <v>306600000</v>
      </c>
    </row>
    <row r="57" spans="1:7" ht="18.75" customHeight="1" x14ac:dyDescent="0.25">
      <c r="A57" s="440" t="s">
        <v>839</v>
      </c>
      <c r="B57" s="460" t="s">
        <v>871</v>
      </c>
      <c r="C57" s="461" t="s">
        <v>70</v>
      </c>
      <c r="D57" s="462">
        <f>950000000-'Pooled Fund detail Capital'!H81</f>
        <v>890000000</v>
      </c>
      <c r="E57" s="463">
        <f t="shared" si="2"/>
        <v>890000000</v>
      </c>
    </row>
    <row r="58" spans="1:7" ht="18.75" customHeight="1" x14ac:dyDescent="0.25">
      <c r="A58" s="459">
        <v>50</v>
      </c>
      <c r="B58" s="440" t="s">
        <v>873</v>
      </c>
      <c r="C58" s="441" t="s">
        <v>252</v>
      </c>
      <c r="D58" s="442">
        <v>400000000</v>
      </c>
      <c r="E58" s="443">
        <f t="shared" si="2"/>
        <v>400000000</v>
      </c>
    </row>
    <row r="59" spans="1:7" ht="18.75" customHeight="1" x14ac:dyDescent="0.25">
      <c r="A59" s="440" t="s">
        <v>840</v>
      </c>
      <c r="B59" s="460" t="s">
        <v>439</v>
      </c>
      <c r="C59" s="461" t="s">
        <v>253</v>
      </c>
      <c r="D59" s="462">
        <f>23523060000-'Pooled Fund detail Capital'!H26+'Project detail capital'!F37</f>
        <v>26863060000</v>
      </c>
      <c r="E59" s="468">
        <f t="shared" si="2"/>
        <v>26863060000</v>
      </c>
    </row>
    <row r="60" spans="1:7" ht="25.5" x14ac:dyDescent="0.25">
      <c r="A60" s="459">
        <v>51</v>
      </c>
      <c r="B60" s="460" t="s">
        <v>1006</v>
      </c>
      <c r="C60" s="461" t="s">
        <v>71</v>
      </c>
      <c r="D60" s="462">
        <f>450000000-'Pooled Fund detail Capital'!H70</f>
        <v>300000000</v>
      </c>
      <c r="E60" s="463">
        <f t="shared" si="2"/>
        <v>300000000</v>
      </c>
    </row>
    <row r="61" spans="1:7" ht="25.5" x14ac:dyDescent="0.25">
      <c r="A61" s="440" t="s">
        <v>842</v>
      </c>
      <c r="B61" s="604" t="s">
        <v>878</v>
      </c>
      <c r="C61" s="605" t="s">
        <v>536</v>
      </c>
      <c r="D61" s="606">
        <v>2510000000</v>
      </c>
      <c r="E61" s="607">
        <f t="shared" si="2"/>
        <v>2510000000</v>
      </c>
      <c r="G61" s="4"/>
    </row>
    <row r="62" spans="1:7" ht="15.75" customHeight="1" x14ac:dyDescent="0.25">
      <c r="A62" s="459">
        <v>52</v>
      </c>
      <c r="B62" s="460" t="s">
        <v>880</v>
      </c>
      <c r="C62" s="461" t="s">
        <v>72</v>
      </c>
      <c r="D62" s="462">
        <f>100000000-50000000</f>
        <v>50000000</v>
      </c>
      <c r="E62" s="463">
        <f t="shared" si="2"/>
        <v>50000000</v>
      </c>
    </row>
    <row r="63" spans="1:7" ht="18.75" customHeight="1" x14ac:dyDescent="0.25">
      <c r="A63" s="440" t="s">
        <v>843</v>
      </c>
      <c r="B63" s="440" t="s">
        <v>882</v>
      </c>
      <c r="C63" s="441" t="s">
        <v>73</v>
      </c>
      <c r="D63" s="442">
        <v>1521079067.3199999</v>
      </c>
      <c r="E63" s="443">
        <f t="shared" si="2"/>
        <v>1521079067.3199999</v>
      </c>
    </row>
    <row r="64" spans="1:7" ht="25.5" x14ac:dyDescent="0.25">
      <c r="A64" s="459">
        <v>53</v>
      </c>
      <c r="B64" s="440" t="s">
        <v>889</v>
      </c>
      <c r="C64" s="441" t="s">
        <v>254</v>
      </c>
      <c r="D64" s="442">
        <v>2573056567</v>
      </c>
      <c r="E64" s="443">
        <f t="shared" si="2"/>
        <v>2573056567</v>
      </c>
    </row>
    <row r="65" spans="1:5" ht="15.75" customHeight="1" x14ac:dyDescent="0.25">
      <c r="A65" s="440" t="s">
        <v>845</v>
      </c>
      <c r="B65" s="440" t="s">
        <v>894</v>
      </c>
      <c r="C65" s="441" t="s">
        <v>74</v>
      </c>
      <c r="D65" s="442">
        <v>150000000</v>
      </c>
      <c r="E65" s="443">
        <f t="shared" si="2"/>
        <v>150000000</v>
      </c>
    </row>
    <row r="66" spans="1:5" ht="25.5" customHeight="1" x14ac:dyDescent="0.25">
      <c r="A66" s="440"/>
      <c r="B66" s="465" t="s">
        <v>607</v>
      </c>
      <c r="C66" s="466" t="s">
        <v>327</v>
      </c>
      <c r="D66" s="467">
        <f>'Project detail capital'!F47</f>
        <v>102000000</v>
      </c>
      <c r="E66" s="468">
        <f t="shared" si="2"/>
        <v>102000000</v>
      </c>
    </row>
    <row r="67" spans="1:5" ht="16.5" customHeight="1" x14ac:dyDescent="0.25">
      <c r="A67" s="459">
        <v>54</v>
      </c>
      <c r="B67" s="460" t="s">
        <v>896</v>
      </c>
      <c r="C67" s="461" t="s">
        <v>75</v>
      </c>
      <c r="D67" s="462">
        <f>3309039360-'Pooled Fund detail Capital'!H47</f>
        <v>2809039360</v>
      </c>
      <c r="E67" s="463">
        <f t="shared" si="2"/>
        <v>2809039360</v>
      </c>
    </row>
    <row r="68" spans="1:5" ht="21.75" customHeight="1" x14ac:dyDescent="0.25">
      <c r="A68" s="440" t="s">
        <v>847</v>
      </c>
      <c r="B68" s="460" t="s">
        <v>898</v>
      </c>
      <c r="C68" s="464" t="s">
        <v>255</v>
      </c>
      <c r="D68" s="462">
        <f>2586505660-'Pooled Fund detail Capital'!H61</f>
        <v>2266677644</v>
      </c>
      <c r="E68" s="463">
        <f t="shared" si="2"/>
        <v>2266677644</v>
      </c>
    </row>
    <row r="69" spans="1:5" ht="13.5" customHeight="1" x14ac:dyDescent="0.25">
      <c r="A69" s="459">
        <v>55</v>
      </c>
      <c r="B69" s="460" t="s">
        <v>900</v>
      </c>
      <c r="C69" s="461" t="s">
        <v>76</v>
      </c>
      <c r="D69" s="462">
        <f>200000000-'Pooled Fund detail Capital'!H40</f>
        <v>40000000</v>
      </c>
      <c r="E69" s="463">
        <f t="shared" si="2"/>
        <v>40000000</v>
      </c>
    </row>
    <row r="70" spans="1:5" ht="18.75" customHeight="1" x14ac:dyDescent="0.25">
      <c r="A70" s="440" t="s">
        <v>850</v>
      </c>
      <c r="B70" s="465" t="s">
        <v>720</v>
      </c>
      <c r="C70" s="466" t="s">
        <v>77</v>
      </c>
      <c r="D70" s="467">
        <f>20000000+'Project detail capital'!F51</f>
        <v>32000000</v>
      </c>
      <c r="E70" s="468">
        <f t="shared" si="2"/>
        <v>32000000</v>
      </c>
    </row>
    <row r="71" spans="1:5" ht="18.75" customHeight="1" x14ac:dyDescent="0.25">
      <c r="A71" s="459">
        <v>56</v>
      </c>
      <c r="B71" s="460" t="s">
        <v>903</v>
      </c>
      <c r="C71" s="461" t="s">
        <v>78</v>
      </c>
      <c r="D71" s="462">
        <f>1000000000-'Pooled Fund detail Capital'!H33</f>
        <v>460000000</v>
      </c>
      <c r="E71" s="463">
        <f t="shared" si="2"/>
        <v>460000000</v>
      </c>
    </row>
    <row r="72" spans="1:5" ht="18.75" customHeight="1" x14ac:dyDescent="0.25">
      <c r="A72" s="440" t="s">
        <v>852</v>
      </c>
      <c r="B72" s="440" t="s">
        <v>905</v>
      </c>
      <c r="C72" s="441" t="s">
        <v>214</v>
      </c>
      <c r="D72" s="442">
        <v>200000000</v>
      </c>
      <c r="E72" s="443">
        <f t="shared" si="2"/>
        <v>200000000</v>
      </c>
    </row>
    <row r="73" spans="1:5" ht="18.75" customHeight="1" x14ac:dyDescent="0.25">
      <c r="A73" s="459">
        <v>57</v>
      </c>
      <c r="B73" s="460" t="s">
        <v>907</v>
      </c>
      <c r="C73" s="461" t="s">
        <v>163</v>
      </c>
      <c r="D73" s="462">
        <f>242000000-'Pooled Fund detail Capital'!H29</f>
        <v>142000000</v>
      </c>
      <c r="E73" s="463">
        <f t="shared" si="2"/>
        <v>142000000</v>
      </c>
    </row>
    <row r="74" spans="1:5" ht="18.75" customHeight="1" x14ac:dyDescent="0.25">
      <c r="A74" s="440" t="s">
        <v>854</v>
      </c>
      <c r="B74" s="460" t="s">
        <v>719</v>
      </c>
      <c r="C74" s="461" t="s">
        <v>23</v>
      </c>
      <c r="D74" s="462">
        <f>918000000-'Pooled Fund detail Capital'!H64</f>
        <v>668000000</v>
      </c>
      <c r="E74" s="463">
        <f t="shared" si="2"/>
        <v>668000000</v>
      </c>
    </row>
    <row r="75" spans="1:5" ht="15" customHeight="1" x14ac:dyDescent="0.25">
      <c r="A75" s="459">
        <v>58</v>
      </c>
      <c r="B75" s="440" t="s">
        <v>910</v>
      </c>
      <c r="C75" s="441" t="s">
        <v>79</v>
      </c>
      <c r="D75" s="442">
        <v>22000000</v>
      </c>
      <c r="E75" s="443">
        <f t="shared" si="2"/>
        <v>22000000</v>
      </c>
    </row>
    <row r="76" spans="1:5" ht="18.75" customHeight="1" x14ac:dyDescent="0.25">
      <c r="A76" s="440" t="s">
        <v>856</v>
      </c>
      <c r="B76" s="465" t="s">
        <v>402</v>
      </c>
      <c r="C76" s="466" t="s">
        <v>80</v>
      </c>
      <c r="D76" s="467">
        <f>150000000+'Project detail capital'!F57</f>
        <v>186500000</v>
      </c>
      <c r="E76" s="468">
        <f t="shared" si="2"/>
        <v>186500000</v>
      </c>
    </row>
    <row r="77" spans="1:5" ht="16.5" customHeight="1" x14ac:dyDescent="0.25">
      <c r="A77" s="459">
        <v>59</v>
      </c>
      <c r="B77" s="440" t="s">
        <v>917</v>
      </c>
      <c r="C77" s="441" t="s">
        <v>81</v>
      </c>
      <c r="D77" s="442">
        <v>80000000</v>
      </c>
      <c r="E77" s="443">
        <f t="shared" si="2"/>
        <v>80000000</v>
      </c>
    </row>
    <row r="78" spans="1:5" ht="17.25" customHeight="1" x14ac:dyDescent="0.25">
      <c r="A78" s="440" t="s">
        <v>858</v>
      </c>
      <c r="B78" s="465" t="s">
        <v>724</v>
      </c>
      <c r="C78" s="466" t="s">
        <v>82</v>
      </c>
      <c r="D78" s="467">
        <f>5000000+'Project detail capital'!F61</f>
        <v>125000000</v>
      </c>
      <c r="E78" s="468">
        <f t="shared" si="2"/>
        <v>125000000</v>
      </c>
    </row>
    <row r="79" spans="1:5" ht="14.25" customHeight="1" x14ac:dyDescent="0.25">
      <c r="A79" s="459">
        <v>60</v>
      </c>
      <c r="B79" s="440" t="s">
        <v>926</v>
      </c>
      <c r="C79" s="441" t="s">
        <v>230</v>
      </c>
      <c r="D79" s="442">
        <v>62500000</v>
      </c>
      <c r="E79" s="443">
        <f t="shared" si="2"/>
        <v>62500000</v>
      </c>
    </row>
    <row r="80" spans="1:5" ht="14.25" customHeight="1" x14ac:dyDescent="0.25">
      <c r="A80" s="501"/>
      <c r="B80" s="495"/>
      <c r="C80" s="496" t="s">
        <v>148</v>
      </c>
      <c r="D80" s="497"/>
      <c r="E80" s="498"/>
    </row>
    <row r="81" spans="1:5" ht="18.75" customHeight="1" x14ac:dyDescent="0.25">
      <c r="A81" s="440" t="s">
        <v>860</v>
      </c>
      <c r="B81" s="440" t="s">
        <v>928</v>
      </c>
      <c r="C81" s="441" t="s">
        <v>83</v>
      </c>
      <c r="D81" s="442">
        <v>100000000</v>
      </c>
      <c r="E81" s="443">
        <f t="shared" si="2"/>
        <v>100000000</v>
      </c>
    </row>
    <row r="82" spans="1:5" ht="18.75" customHeight="1" x14ac:dyDescent="0.25">
      <c r="A82" s="440" t="s">
        <v>862</v>
      </c>
      <c r="B82" s="440" t="s">
        <v>930</v>
      </c>
      <c r="C82" s="441" t="s">
        <v>84</v>
      </c>
      <c r="D82" s="442">
        <v>40000000</v>
      </c>
      <c r="E82" s="443">
        <f t="shared" ref="E82:E108" si="3">SUM(D82:D82)</f>
        <v>40000000</v>
      </c>
    </row>
    <row r="83" spans="1:5" ht="25.5" x14ac:dyDescent="0.25">
      <c r="A83" s="440" t="s">
        <v>864</v>
      </c>
      <c r="B83" s="440" t="s">
        <v>932</v>
      </c>
      <c r="C83" s="441" t="s">
        <v>85</v>
      </c>
      <c r="D83" s="442">
        <v>39000000</v>
      </c>
      <c r="E83" s="443">
        <f t="shared" si="3"/>
        <v>39000000</v>
      </c>
    </row>
    <row r="84" spans="1:5" ht="18.75" customHeight="1" x14ac:dyDescent="0.25">
      <c r="A84" s="440" t="s">
        <v>866</v>
      </c>
      <c r="B84" s="460" t="s">
        <v>712</v>
      </c>
      <c r="C84" s="461" t="s">
        <v>256</v>
      </c>
      <c r="D84" s="462">
        <f>1200000000-'Pooled Fund detail Capital'!H19+'Project detail capital'!F65</f>
        <v>805429016</v>
      </c>
      <c r="E84" s="468">
        <f t="shared" si="3"/>
        <v>805429016</v>
      </c>
    </row>
    <row r="85" spans="1:5" ht="25.5" x14ac:dyDescent="0.25">
      <c r="A85" s="440" t="s">
        <v>868</v>
      </c>
      <c r="B85" s="440" t="s">
        <v>939</v>
      </c>
      <c r="C85" s="441" t="s">
        <v>86</v>
      </c>
      <c r="D85" s="442">
        <v>5570352058.54</v>
      </c>
      <c r="E85" s="443">
        <f t="shared" si="3"/>
        <v>5570352058.54</v>
      </c>
    </row>
    <row r="86" spans="1:5" ht="18.75" customHeight="1" x14ac:dyDescent="0.25">
      <c r="A86" s="440" t="s">
        <v>870</v>
      </c>
      <c r="B86" s="460" t="s">
        <v>945</v>
      </c>
      <c r="C86" s="461" t="s">
        <v>87</v>
      </c>
      <c r="D86" s="462">
        <f>60000000-'Pooled Fund detail Capital'!H93</f>
        <v>30000000</v>
      </c>
      <c r="E86" s="463">
        <f t="shared" si="3"/>
        <v>30000000</v>
      </c>
    </row>
    <row r="87" spans="1:5" ht="18.75" customHeight="1" x14ac:dyDescent="0.25">
      <c r="A87" s="440" t="s">
        <v>872</v>
      </c>
      <c r="B87" s="440" t="s">
        <v>1007</v>
      </c>
      <c r="C87" s="441" t="s">
        <v>88</v>
      </c>
      <c r="D87" s="442">
        <v>80000000</v>
      </c>
      <c r="E87" s="443">
        <f t="shared" si="3"/>
        <v>80000000</v>
      </c>
    </row>
    <row r="88" spans="1:5" ht="18.75" customHeight="1" x14ac:dyDescent="0.25">
      <c r="A88" s="440" t="s">
        <v>874</v>
      </c>
      <c r="B88" s="460" t="s">
        <v>1008</v>
      </c>
      <c r="C88" s="461" t="s">
        <v>89</v>
      </c>
      <c r="D88" s="462">
        <f>200000000-'Pooled Fund detail Capital'!H9</f>
        <v>60000000</v>
      </c>
      <c r="E88" s="463">
        <f t="shared" si="3"/>
        <v>60000000</v>
      </c>
    </row>
    <row r="89" spans="1:5" ht="25.5" x14ac:dyDescent="0.25">
      <c r="A89" s="440" t="s">
        <v>876</v>
      </c>
      <c r="B89" s="460" t="s">
        <v>1009</v>
      </c>
      <c r="C89" s="461" t="s">
        <v>90</v>
      </c>
      <c r="D89" s="462">
        <f>400000000-'Pooled Fund detail Capital'!H54</f>
        <v>230000000</v>
      </c>
      <c r="E89" s="463">
        <f t="shared" si="3"/>
        <v>230000000</v>
      </c>
    </row>
    <row r="90" spans="1:5" ht="18.75" customHeight="1" x14ac:dyDescent="0.25">
      <c r="A90" s="440" t="s">
        <v>877</v>
      </c>
      <c r="B90" s="460" t="s">
        <v>1010</v>
      </c>
      <c r="C90" s="461" t="s">
        <v>91</v>
      </c>
      <c r="D90" s="462">
        <f>400000000-'Pooled Fund detail Capital'!H57</f>
        <v>200000000</v>
      </c>
      <c r="E90" s="463">
        <f t="shared" si="3"/>
        <v>200000000</v>
      </c>
    </row>
    <row r="91" spans="1:5" ht="18.75" customHeight="1" x14ac:dyDescent="0.25">
      <c r="A91" s="440" t="s">
        <v>879</v>
      </c>
      <c r="B91" s="440" t="s">
        <v>947</v>
      </c>
      <c r="C91" s="441" t="s">
        <v>92</v>
      </c>
      <c r="D91" s="442">
        <v>15000000</v>
      </c>
      <c r="E91" s="443">
        <f t="shared" si="3"/>
        <v>15000000</v>
      </c>
    </row>
    <row r="92" spans="1:5" ht="15.75" customHeight="1" x14ac:dyDescent="0.25">
      <c r="A92" s="440" t="s">
        <v>881</v>
      </c>
      <c r="B92" s="440" t="s">
        <v>949</v>
      </c>
      <c r="C92" s="441" t="s">
        <v>130</v>
      </c>
      <c r="D92" s="442">
        <v>2000000</v>
      </c>
      <c r="E92" s="443">
        <f t="shared" si="3"/>
        <v>2000000</v>
      </c>
    </row>
    <row r="93" spans="1:5" ht="13.5" customHeight="1" x14ac:dyDescent="0.25">
      <c r="A93" s="440" t="s">
        <v>883</v>
      </c>
      <c r="B93" s="440" t="s">
        <v>951</v>
      </c>
      <c r="C93" s="441" t="s">
        <v>131</v>
      </c>
      <c r="D93" s="442">
        <v>2000000</v>
      </c>
      <c r="E93" s="443">
        <f t="shared" si="3"/>
        <v>2000000</v>
      </c>
    </row>
    <row r="94" spans="1:5" ht="14.25" customHeight="1" x14ac:dyDescent="0.25">
      <c r="A94" s="440" t="s">
        <v>885</v>
      </c>
      <c r="B94" s="440" t="s">
        <v>953</v>
      </c>
      <c r="C94" s="441" t="s">
        <v>132</v>
      </c>
      <c r="D94" s="442">
        <v>2000000</v>
      </c>
      <c r="E94" s="443">
        <f t="shared" si="3"/>
        <v>2000000</v>
      </c>
    </row>
    <row r="95" spans="1:5" ht="14.25" customHeight="1" x14ac:dyDescent="0.25">
      <c r="A95" s="440" t="s">
        <v>888</v>
      </c>
      <c r="B95" s="440" t="s">
        <v>955</v>
      </c>
      <c r="C95" s="441" t="s">
        <v>133</v>
      </c>
      <c r="D95" s="442">
        <v>2000000</v>
      </c>
      <c r="E95" s="443">
        <f t="shared" si="3"/>
        <v>2000000</v>
      </c>
    </row>
    <row r="96" spans="1:5" ht="18.75" customHeight="1" x14ac:dyDescent="0.25">
      <c r="A96" s="440" t="s">
        <v>890</v>
      </c>
      <c r="B96" s="440" t="s">
        <v>957</v>
      </c>
      <c r="C96" s="441" t="s">
        <v>134</v>
      </c>
      <c r="D96" s="442">
        <v>3000000</v>
      </c>
      <c r="E96" s="443">
        <f t="shared" si="3"/>
        <v>3000000</v>
      </c>
    </row>
    <row r="97" spans="1:5" ht="14.25" customHeight="1" x14ac:dyDescent="0.25">
      <c r="A97" s="440" t="s">
        <v>893</v>
      </c>
      <c r="B97" s="440" t="s">
        <v>959</v>
      </c>
      <c r="C97" s="441" t="s">
        <v>135</v>
      </c>
      <c r="D97" s="442">
        <v>2000000</v>
      </c>
      <c r="E97" s="443">
        <f t="shared" si="3"/>
        <v>2000000</v>
      </c>
    </row>
    <row r="98" spans="1:5" ht="14.25" customHeight="1" x14ac:dyDescent="0.25">
      <c r="A98" s="440" t="s">
        <v>895</v>
      </c>
      <c r="B98" s="440" t="s">
        <v>961</v>
      </c>
      <c r="C98" s="441" t="s">
        <v>136</v>
      </c>
      <c r="D98" s="442">
        <v>2000000</v>
      </c>
      <c r="E98" s="443">
        <f t="shared" si="3"/>
        <v>2000000</v>
      </c>
    </row>
    <row r="99" spans="1:5" ht="18.75" customHeight="1" x14ac:dyDescent="0.25">
      <c r="A99" s="440" t="s">
        <v>897</v>
      </c>
      <c r="B99" s="440" t="s">
        <v>963</v>
      </c>
      <c r="C99" s="441" t="s">
        <v>137</v>
      </c>
      <c r="D99" s="442">
        <v>2000000</v>
      </c>
      <c r="E99" s="443">
        <f t="shared" si="3"/>
        <v>2000000</v>
      </c>
    </row>
    <row r="100" spans="1:5" ht="18.75" customHeight="1" x14ac:dyDescent="0.25">
      <c r="A100" s="440" t="s">
        <v>899</v>
      </c>
      <c r="B100" s="440" t="s">
        <v>965</v>
      </c>
      <c r="C100" s="441" t="s">
        <v>138</v>
      </c>
      <c r="D100" s="442">
        <v>2000000</v>
      </c>
      <c r="E100" s="443">
        <f t="shared" si="3"/>
        <v>2000000</v>
      </c>
    </row>
    <row r="101" spans="1:5" ht="16.5" customHeight="1" x14ac:dyDescent="0.25">
      <c r="A101" s="440" t="s">
        <v>901</v>
      </c>
      <c r="B101" s="440" t="s">
        <v>967</v>
      </c>
      <c r="C101" s="441" t="s">
        <v>93</v>
      </c>
      <c r="D101" s="442">
        <v>250000000</v>
      </c>
      <c r="E101" s="443">
        <f t="shared" si="3"/>
        <v>250000000</v>
      </c>
    </row>
    <row r="102" spans="1:5" ht="18.75" customHeight="1" x14ac:dyDescent="0.25">
      <c r="A102" s="440" t="s">
        <v>902</v>
      </c>
      <c r="B102" s="460" t="s">
        <v>969</v>
      </c>
      <c r="C102" s="461" t="s">
        <v>257</v>
      </c>
      <c r="D102" s="462">
        <f>100000000-60000000</f>
        <v>40000000</v>
      </c>
      <c r="E102" s="463">
        <f t="shared" si="3"/>
        <v>40000000</v>
      </c>
    </row>
    <row r="103" spans="1:5" ht="16.5" customHeight="1" x14ac:dyDescent="0.25">
      <c r="A103" s="440" t="s">
        <v>904</v>
      </c>
      <c r="B103" s="460" t="s">
        <v>164</v>
      </c>
      <c r="C103" s="461" t="s">
        <v>94</v>
      </c>
      <c r="D103" s="462">
        <f>2405000000-'Pooled Fund detail Capital'!H36+'Project detail capital'!F86</f>
        <v>2356000000</v>
      </c>
      <c r="E103" s="468">
        <f t="shared" si="3"/>
        <v>2356000000</v>
      </c>
    </row>
    <row r="104" spans="1:5" ht="18.75" customHeight="1" x14ac:dyDescent="0.25">
      <c r="A104" s="440" t="s">
        <v>906</v>
      </c>
      <c r="B104" s="465" t="s">
        <v>437</v>
      </c>
      <c r="C104" s="466" t="s">
        <v>258</v>
      </c>
      <c r="D104" s="467">
        <f>3665600000+'Project detail capital'!F69</f>
        <v>3685600000</v>
      </c>
      <c r="E104" s="468">
        <f t="shared" si="3"/>
        <v>3685600000</v>
      </c>
    </row>
    <row r="105" spans="1:5" ht="25.5" x14ac:dyDescent="0.25">
      <c r="A105" s="440" t="s">
        <v>908</v>
      </c>
      <c r="B105" s="460" t="s">
        <v>270</v>
      </c>
      <c r="C105" s="461" t="s">
        <v>640</v>
      </c>
      <c r="D105" s="462">
        <f>1200000000-'Pooled Fund detail Capital'!H99</f>
        <v>1030000000</v>
      </c>
      <c r="E105" s="463">
        <f t="shared" si="3"/>
        <v>1030000000</v>
      </c>
    </row>
    <row r="106" spans="1:5" ht="15" x14ac:dyDescent="0.25">
      <c r="A106" s="440" t="s">
        <v>909</v>
      </c>
      <c r="B106" s="440" t="s">
        <v>973</v>
      </c>
      <c r="C106" s="441" t="s">
        <v>95</v>
      </c>
      <c r="D106" s="442">
        <v>150000000</v>
      </c>
      <c r="E106" s="443">
        <f>SUM(D106:D106)</f>
        <v>150000000</v>
      </c>
    </row>
    <row r="107" spans="1:5" ht="15" x14ac:dyDescent="0.25">
      <c r="A107" s="517"/>
      <c r="B107" s="517"/>
      <c r="C107" s="496" t="s">
        <v>169</v>
      </c>
      <c r="D107" s="497"/>
      <c r="E107" s="498"/>
    </row>
    <row r="108" spans="1:5" ht="18.75" customHeight="1" x14ac:dyDescent="0.25">
      <c r="A108" s="445" t="s">
        <v>911</v>
      </c>
      <c r="B108" s="445" t="s">
        <v>975</v>
      </c>
      <c r="C108" s="446" t="s">
        <v>139</v>
      </c>
      <c r="D108" s="448">
        <v>2000000</v>
      </c>
      <c r="E108" s="449">
        <f t="shared" si="3"/>
        <v>2000000</v>
      </c>
    </row>
    <row r="109" spans="1:5" ht="18.75" customHeight="1" x14ac:dyDescent="0.25">
      <c r="A109" s="440" t="s">
        <v>913</v>
      </c>
      <c r="B109" s="440" t="s">
        <v>977</v>
      </c>
      <c r="C109" s="441" t="s">
        <v>96</v>
      </c>
      <c r="D109" s="442">
        <v>34000000</v>
      </c>
      <c r="E109" s="443">
        <f t="shared" ref="E109:E118" si="4">SUM(D109:D109)</f>
        <v>34000000</v>
      </c>
    </row>
    <row r="110" spans="1:5" ht="18.75" customHeight="1" x14ac:dyDescent="0.25">
      <c r="A110" s="440" t="s">
        <v>915</v>
      </c>
      <c r="B110" s="440" t="s">
        <v>979</v>
      </c>
      <c r="C110" s="441" t="s">
        <v>97</v>
      </c>
      <c r="D110" s="442">
        <v>30000000</v>
      </c>
      <c r="E110" s="443">
        <f t="shared" si="4"/>
        <v>30000000</v>
      </c>
    </row>
    <row r="111" spans="1:5" ht="18.75" customHeight="1" x14ac:dyDescent="0.25">
      <c r="A111" s="440" t="s">
        <v>916</v>
      </c>
      <c r="B111" s="440" t="s">
        <v>981</v>
      </c>
      <c r="C111" s="441" t="s">
        <v>98</v>
      </c>
      <c r="D111" s="442">
        <v>20000000</v>
      </c>
      <c r="E111" s="443">
        <f t="shared" si="4"/>
        <v>20000000</v>
      </c>
    </row>
    <row r="112" spans="1:5" ht="18.75" customHeight="1" x14ac:dyDescent="0.25">
      <c r="A112" s="440" t="s">
        <v>918</v>
      </c>
      <c r="B112" s="465" t="s">
        <v>593</v>
      </c>
      <c r="C112" s="466" t="s">
        <v>216</v>
      </c>
      <c r="D112" s="467">
        <f>1900000000+'Project detail capital'!F73</f>
        <v>2096000000</v>
      </c>
      <c r="E112" s="468">
        <f t="shared" si="4"/>
        <v>2096000000</v>
      </c>
    </row>
    <row r="113" spans="1:7" ht="18.75" customHeight="1" x14ac:dyDescent="0.25">
      <c r="A113" s="440" t="s">
        <v>920</v>
      </c>
      <c r="B113" s="460" t="s">
        <v>320</v>
      </c>
      <c r="C113" s="461" t="s">
        <v>99</v>
      </c>
      <c r="D113" s="462">
        <f>370000000-'Pooled Fund detail Capital'!H50+'Project detail capital'!F81</f>
        <v>453165000</v>
      </c>
      <c r="E113" s="468">
        <f t="shared" si="4"/>
        <v>453165000</v>
      </c>
    </row>
    <row r="114" spans="1:7" ht="18.75" customHeight="1" x14ac:dyDescent="0.25">
      <c r="A114" s="440" t="s">
        <v>921</v>
      </c>
      <c r="B114" s="465" t="s">
        <v>324</v>
      </c>
      <c r="C114" s="466" t="s">
        <v>100</v>
      </c>
      <c r="D114" s="467">
        <f>20000000+'Project detail capital'!F77</f>
        <v>50000000</v>
      </c>
      <c r="E114" s="468">
        <f t="shared" si="4"/>
        <v>50000000</v>
      </c>
      <c r="G114" s="11"/>
    </row>
    <row r="115" spans="1:7" ht="18.75" customHeight="1" x14ac:dyDescent="0.25">
      <c r="A115" s="440" t="s">
        <v>923</v>
      </c>
      <c r="B115" s="440" t="s">
        <v>989</v>
      </c>
      <c r="C115" s="441" t="s">
        <v>140</v>
      </c>
      <c r="D115" s="442">
        <v>29000000</v>
      </c>
      <c r="E115" s="443">
        <f t="shared" si="4"/>
        <v>29000000</v>
      </c>
    </row>
    <row r="116" spans="1:7" ht="18.75" customHeight="1" x14ac:dyDescent="0.25">
      <c r="A116" s="440" t="s">
        <v>925</v>
      </c>
      <c r="B116" s="440" t="s">
        <v>991</v>
      </c>
      <c r="C116" s="441" t="s">
        <v>101</v>
      </c>
      <c r="D116" s="442">
        <v>8000000</v>
      </c>
      <c r="E116" s="443">
        <f t="shared" si="4"/>
        <v>8000000</v>
      </c>
    </row>
    <row r="117" spans="1:7" ht="18.75" customHeight="1" x14ac:dyDescent="0.25">
      <c r="A117" s="440" t="s">
        <v>927</v>
      </c>
      <c r="B117" s="440" t="s">
        <v>993</v>
      </c>
      <c r="C117" s="441" t="s">
        <v>259</v>
      </c>
      <c r="D117" s="442">
        <v>1128900000</v>
      </c>
      <c r="E117" s="443">
        <f t="shared" si="4"/>
        <v>1128900000</v>
      </c>
    </row>
    <row r="118" spans="1:7" ht="18.75" customHeight="1" x14ac:dyDescent="0.25">
      <c r="A118" s="440" t="s">
        <v>929</v>
      </c>
      <c r="B118" s="440" t="s">
        <v>995</v>
      </c>
      <c r="C118" s="441" t="s">
        <v>102</v>
      </c>
      <c r="D118" s="442">
        <v>510000000</v>
      </c>
      <c r="E118" s="443">
        <f t="shared" si="4"/>
        <v>510000000</v>
      </c>
    </row>
    <row r="119" spans="1:7" ht="18.75" customHeight="1" x14ac:dyDescent="0.25">
      <c r="A119" s="640" t="s">
        <v>3</v>
      </c>
      <c r="B119" s="641"/>
      <c r="C119" s="642"/>
      <c r="D119" s="493">
        <f>SUM(D6:D118)</f>
        <v>85710575112.860001</v>
      </c>
      <c r="E119" s="493">
        <f>SUM(E6:E118)</f>
        <v>85710575112.860001</v>
      </c>
    </row>
    <row r="132" spans="3:7" ht="18.75" customHeight="1" x14ac:dyDescent="0.25">
      <c r="C132" s="500" t="s">
        <v>1011</v>
      </c>
    </row>
    <row r="135" spans="3:7" ht="18.75" customHeight="1" x14ac:dyDescent="0.25">
      <c r="D135" s="499"/>
      <c r="E135" s="499"/>
      <c r="F135" s="499"/>
      <c r="G135" s="499"/>
    </row>
  </sheetData>
  <mergeCells count="5">
    <mergeCell ref="A119:C119"/>
    <mergeCell ref="A1:E1"/>
    <mergeCell ref="A2:E2"/>
    <mergeCell ref="A3:E3"/>
    <mergeCell ref="A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2" sqref="A2:H2"/>
    </sheetView>
  </sheetViews>
  <sheetFormatPr defaultRowHeight="15" x14ac:dyDescent="0.25"/>
  <cols>
    <col min="1" max="1" width="5" customWidth="1"/>
    <col min="2" max="2" width="40.140625" customWidth="1"/>
    <col min="3" max="3" width="6" customWidth="1"/>
    <col min="4" max="4" width="20.85546875" customWidth="1"/>
    <col min="5" max="5" width="6.5703125" customWidth="1"/>
    <col min="6" max="6" width="21.42578125" customWidth="1"/>
    <col min="7" max="7" width="6.28515625" customWidth="1"/>
    <col min="8" max="8" width="15.28515625" customWidth="1"/>
    <col min="9" max="9" width="15.28515625" bestFit="1" customWidth="1"/>
    <col min="10" max="10" width="24.7109375" customWidth="1"/>
  </cols>
  <sheetData>
    <row r="1" spans="1:8" ht="12.95" customHeight="1" x14ac:dyDescent="0.25">
      <c r="A1" s="623" t="s">
        <v>7</v>
      </c>
      <c r="B1" s="624"/>
      <c r="C1" s="624"/>
      <c r="D1" s="624"/>
      <c r="E1" s="624"/>
      <c r="F1" s="624"/>
      <c r="G1" s="624"/>
      <c r="H1" s="624"/>
    </row>
    <row r="2" spans="1:8" ht="12.95" customHeight="1" x14ac:dyDescent="0.25">
      <c r="A2" s="623" t="s">
        <v>1167</v>
      </c>
      <c r="B2" s="624"/>
      <c r="C2" s="624"/>
      <c r="D2" s="624"/>
      <c r="E2" s="624"/>
      <c r="F2" s="624"/>
      <c r="G2" s="624"/>
      <c r="H2" s="624"/>
    </row>
    <row r="3" spans="1:8" ht="12.95" customHeight="1" x14ac:dyDescent="0.25">
      <c r="A3" s="623" t="s">
        <v>271</v>
      </c>
      <c r="B3" s="623"/>
      <c r="C3" s="623"/>
      <c r="D3" s="623"/>
      <c r="E3" s="623"/>
      <c r="F3" s="623"/>
      <c r="G3" s="623"/>
      <c r="H3" s="623"/>
    </row>
    <row r="4" spans="1:8" ht="12.95" customHeight="1" x14ac:dyDescent="0.25">
      <c r="A4" s="391"/>
      <c r="B4" s="427" t="s">
        <v>5</v>
      </c>
      <c r="C4" s="427"/>
      <c r="D4" s="391"/>
      <c r="E4" s="391"/>
      <c r="F4" s="391"/>
      <c r="G4" s="391"/>
      <c r="H4" s="391"/>
    </row>
    <row r="5" spans="1:8" ht="21" customHeight="1" x14ac:dyDescent="0.25">
      <c r="A5" s="545" t="s">
        <v>0</v>
      </c>
      <c r="B5" s="545" t="s">
        <v>1</v>
      </c>
      <c r="C5" s="545" t="s">
        <v>2</v>
      </c>
      <c r="D5" s="545" t="s">
        <v>206</v>
      </c>
      <c r="E5" s="545" t="s">
        <v>2</v>
      </c>
      <c r="F5" s="546" t="s">
        <v>1152</v>
      </c>
      <c r="G5" s="545" t="s">
        <v>2</v>
      </c>
      <c r="H5" s="546" t="s">
        <v>1153</v>
      </c>
    </row>
    <row r="6" spans="1:8" ht="12" customHeight="1" x14ac:dyDescent="0.25">
      <c r="A6" s="203">
        <v>1</v>
      </c>
      <c r="B6" s="83" t="s">
        <v>596</v>
      </c>
      <c r="C6" s="203">
        <v>8</v>
      </c>
      <c r="D6" s="547">
        <f>'Personnel Details'!F7</f>
        <v>117548540</v>
      </c>
      <c r="E6" s="545"/>
      <c r="F6" s="548">
        <v>0</v>
      </c>
      <c r="G6" s="203"/>
      <c r="H6" s="547">
        <v>0</v>
      </c>
    </row>
    <row r="7" spans="1:8" ht="12" customHeight="1" x14ac:dyDescent="0.25">
      <c r="A7" s="203">
        <v>2</v>
      </c>
      <c r="B7" s="549" t="s">
        <v>449</v>
      </c>
      <c r="C7" s="203"/>
      <c r="D7" s="209">
        <v>0</v>
      </c>
      <c r="E7" s="545"/>
      <c r="F7" s="214">
        <v>0</v>
      </c>
      <c r="G7" s="203">
        <v>9</v>
      </c>
      <c r="H7" s="550">
        <f>'Details SP'!G23</f>
        <v>30000000</v>
      </c>
    </row>
    <row r="8" spans="1:8" ht="12" customHeight="1" x14ac:dyDescent="0.25">
      <c r="A8" s="203">
        <v>3</v>
      </c>
      <c r="B8" s="549" t="s">
        <v>736</v>
      </c>
      <c r="C8" s="203"/>
      <c r="D8" s="209">
        <v>0</v>
      </c>
      <c r="E8" s="203">
        <v>17</v>
      </c>
      <c r="F8" s="214">
        <v>0</v>
      </c>
      <c r="G8" s="203">
        <v>10</v>
      </c>
      <c r="H8" s="214">
        <f>'Details SP'!G47</f>
        <v>2500000</v>
      </c>
    </row>
    <row r="9" spans="1:8" ht="12" customHeight="1" x14ac:dyDescent="0.25">
      <c r="A9" s="203">
        <v>4</v>
      </c>
      <c r="B9" s="549" t="s">
        <v>602</v>
      </c>
      <c r="C9" s="203"/>
      <c r="D9" s="209">
        <v>0</v>
      </c>
      <c r="E9" s="545"/>
      <c r="F9" s="214">
        <v>0</v>
      </c>
      <c r="G9" s="203">
        <v>11</v>
      </c>
      <c r="H9" s="214">
        <f>'Details SP'!G80</f>
        <v>2000000</v>
      </c>
    </row>
    <row r="10" spans="1:8" ht="12" customHeight="1" x14ac:dyDescent="0.25">
      <c r="A10" s="203">
        <v>5</v>
      </c>
      <c r="B10" s="551" t="s">
        <v>301</v>
      </c>
      <c r="C10" s="203"/>
      <c r="D10" s="209">
        <v>0</v>
      </c>
      <c r="E10" s="545"/>
      <c r="F10" s="214">
        <v>0</v>
      </c>
      <c r="G10" s="203">
        <v>12</v>
      </c>
      <c r="H10" s="552">
        <f>'Details SP'!G112</f>
        <v>1500000</v>
      </c>
    </row>
    <row r="11" spans="1:8" ht="19.5" customHeight="1" x14ac:dyDescent="0.25">
      <c r="A11" s="203">
        <v>6</v>
      </c>
      <c r="B11" s="551" t="s">
        <v>456</v>
      </c>
      <c r="C11" s="203"/>
      <c r="D11" s="209">
        <v>0</v>
      </c>
      <c r="E11" s="545"/>
      <c r="F11" s="214">
        <v>0</v>
      </c>
      <c r="G11" s="203">
        <v>13</v>
      </c>
      <c r="H11" s="552">
        <f>'Details SP'!G144</f>
        <v>8000000</v>
      </c>
    </row>
    <row r="12" spans="1:8" ht="12" customHeight="1" x14ac:dyDescent="0.25">
      <c r="A12" s="203">
        <v>7</v>
      </c>
      <c r="B12" s="551" t="s">
        <v>446</v>
      </c>
      <c r="C12" s="203"/>
      <c r="D12" s="209">
        <v>0</v>
      </c>
      <c r="E12" s="545"/>
      <c r="F12" s="214">
        <v>0</v>
      </c>
      <c r="G12" s="203">
        <v>14</v>
      </c>
      <c r="H12" s="552">
        <f>'Details SP'!G177</f>
        <v>6000000</v>
      </c>
    </row>
    <row r="13" spans="1:8" ht="12" customHeight="1" x14ac:dyDescent="0.25">
      <c r="A13" s="203">
        <v>8</v>
      </c>
      <c r="B13" s="56" t="s">
        <v>634</v>
      </c>
      <c r="C13" s="203"/>
      <c r="D13" s="209">
        <v>0</v>
      </c>
      <c r="E13" s="203">
        <v>15</v>
      </c>
      <c r="F13" s="422">
        <f>'Details SP'!G214</f>
        <v>6000000</v>
      </c>
      <c r="G13" s="203"/>
      <c r="H13" s="552">
        <v>0</v>
      </c>
    </row>
    <row r="14" spans="1:8" ht="12" customHeight="1" x14ac:dyDescent="0.25">
      <c r="A14" s="203">
        <v>9</v>
      </c>
      <c r="B14" s="319" t="s">
        <v>647</v>
      </c>
      <c r="C14" s="203"/>
      <c r="D14" s="209">
        <v>0</v>
      </c>
      <c r="E14" s="203">
        <v>16</v>
      </c>
      <c r="F14" s="422">
        <f>'Details SP'!G231</f>
        <v>28000000</v>
      </c>
      <c r="G14" s="203"/>
      <c r="H14" s="552">
        <v>0</v>
      </c>
    </row>
    <row r="15" spans="1:8" ht="12" customHeight="1" x14ac:dyDescent="0.25">
      <c r="A15" s="203">
        <v>11</v>
      </c>
      <c r="B15" s="83" t="s">
        <v>742</v>
      </c>
      <c r="C15" s="203"/>
      <c r="D15" s="209"/>
      <c r="E15" s="203">
        <v>18</v>
      </c>
      <c r="F15" s="422">
        <f>'Details SP'!G295</f>
        <v>4334000</v>
      </c>
      <c r="G15" s="203"/>
      <c r="H15" s="552"/>
    </row>
    <row r="16" spans="1:8" ht="12" customHeight="1" x14ac:dyDescent="0.25">
      <c r="A16" s="203">
        <v>12</v>
      </c>
      <c r="B16" s="83" t="s">
        <v>450</v>
      </c>
      <c r="C16" s="203"/>
      <c r="D16" s="209">
        <v>0</v>
      </c>
      <c r="E16" s="203">
        <v>19</v>
      </c>
      <c r="F16" s="550">
        <f>'Details SP'!G328</f>
        <v>11000000</v>
      </c>
      <c r="G16" s="203"/>
      <c r="H16" s="552">
        <v>0</v>
      </c>
    </row>
    <row r="17" spans="1:8" ht="12.95" customHeight="1" x14ac:dyDescent="0.25">
      <c r="A17" s="203">
        <v>13</v>
      </c>
      <c r="B17" s="83" t="s">
        <v>451</v>
      </c>
      <c r="C17" s="203"/>
      <c r="D17" s="209">
        <v>0</v>
      </c>
      <c r="E17" s="203">
        <v>20</v>
      </c>
      <c r="F17" s="550">
        <f>'Details SP'!G361</f>
        <v>1000000</v>
      </c>
      <c r="G17" s="203"/>
      <c r="H17" s="552">
        <v>0</v>
      </c>
    </row>
    <row r="18" spans="1:8" ht="12.95" customHeight="1" x14ac:dyDescent="0.25">
      <c r="A18" s="203">
        <v>14</v>
      </c>
      <c r="B18" s="83" t="s">
        <v>1146</v>
      </c>
      <c r="C18" s="203"/>
      <c r="D18" s="209">
        <v>0</v>
      </c>
      <c r="E18" s="203">
        <v>21</v>
      </c>
      <c r="F18" s="548">
        <v>0</v>
      </c>
      <c r="G18" s="203"/>
      <c r="H18" s="552">
        <v>0</v>
      </c>
    </row>
    <row r="19" spans="1:8" ht="12" customHeight="1" x14ac:dyDescent="0.25">
      <c r="A19" s="203">
        <v>15</v>
      </c>
      <c r="B19" s="83" t="s">
        <v>452</v>
      </c>
      <c r="C19" s="203"/>
      <c r="D19" s="209">
        <v>0</v>
      </c>
      <c r="E19" s="203">
        <v>24</v>
      </c>
      <c r="F19" s="550">
        <f>'Details SP'!G473</f>
        <v>93500000</v>
      </c>
      <c r="G19" s="203"/>
      <c r="H19" s="552">
        <v>0</v>
      </c>
    </row>
    <row r="20" spans="1:8" ht="12" customHeight="1" x14ac:dyDescent="0.25">
      <c r="A20" s="203">
        <v>16</v>
      </c>
      <c r="B20" s="83" t="s">
        <v>453</v>
      </c>
      <c r="C20" s="203"/>
      <c r="D20" s="209">
        <v>0</v>
      </c>
      <c r="E20" s="203">
        <v>25</v>
      </c>
      <c r="F20" s="550">
        <f>'Details SP'!G497</f>
        <v>1000000</v>
      </c>
      <c r="G20" s="203"/>
      <c r="H20" s="552">
        <v>0</v>
      </c>
    </row>
    <row r="21" spans="1:8" ht="12" customHeight="1" x14ac:dyDescent="0.25">
      <c r="A21" s="203">
        <v>17</v>
      </c>
      <c r="B21" s="83" t="s">
        <v>577</v>
      </c>
      <c r="C21" s="203"/>
      <c r="D21" s="209">
        <v>0</v>
      </c>
      <c r="E21" s="203">
        <v>26</v>
      </c>
      <c r="F21" s="550">
        <f>'Details SP'!G534</f>
        <v>17000000</v>
      </c>
      <c r="G21" s="203"/>
      <c r="H21" s="552">
        <v>0</v>
      </c>
    </row>
    <row r="22" spans="1:8" ht="12" customHeight="1" x14ac:dyDescent="0.25">
      <c r="A22" s="203">
        <v>18</v>
      </c>
      <c r="B22" s="83" t="s">
        <v>454</v>
      </c>
      <c r="C22" s="203"/>
      <c r="D22" s="209">
        <v>0</v>
      </c>
      <c r="E22" s="203">
        <v>27</v>
      </c>
      <c r="F22" s="550">
        <f>'Details SP'!G555</f>
        <v>2000000</v>
      </c>
      <c r="G22" s="203"/>
      <c r="H22" s="552">
        <v>0</v>
      </c>
    </row>
    <row r="23" spans="1:8" ht="12" customHeight="1" x14ac:dyDescent="0.25">
      <c r="A23" s="203">
        <v>19</v>
      </c>
      <c r="B23" s="83" t="s">
        <v>458</v>
      </c>
      <c r="C23" s="203"/>
      <c r="D23" s="209">
        <v>0</v>
      </c>
      <c r="E23" s="203">
        <v>28</v>
      </c>
      <c r="F23" s="550">
        <f>'Details SP'!G615</f>
        <v>4843000000</v>
      </c>
      <c r="G23" s="203"/>
      <c r="H23" s="547">
        <v>0</v>
      </c>
    </row>
    <row r="24" spans="1:8" ht="12" customHeight="1" x14ac:dyDescent="0.25">
      <c r="A24" s="203">
        <v>20</v>
      </c>
      <c r="B24" s="83" t="s">
        <v>455</v>
      </c>
      <c r="C24" s="203"/>
      <c r="D24" s="209">
        <v>0</v>
      </c>
      <c r="E24" s="203">
        <v>30</v>
      </c>
      <c r="F24" s="550">
        <f>'Details SP'!G654</f>
        <v>2056000000</v>
      </c>
      <c r="G24" s="203"/>
      <c r="H24" s="547">
        <v>0</v>
      </c>
    </row>
    <row r="25" spans="1:8" ht="12" customHeight="1" x14ac:dyDescent="0.25">
      <c r="A25" s="203">
        <v>21</v>
      </c>
      <c r="B25" s="83" t="s">
        <v>1147</v>
      </c>
      <c r="C25" s="203"/>
      <c r="D25" s="209"/>
      <c r="E25" s="203">
        <v>31</v>
      </c>
      <c r="F25" s="548">
        <v>0</v>
      </c>
      <c r="G25" s="203"/>
      <c r="H25" s="547">
        <v>0</v>
      </c>
    </row>
    <row r="26" spans="1:8" ht="12" customHeight="1" x14ac:dyDescent="0.25">
      <c r="A26" s="203">
        <v>22</v>
      </c>
      <c r="B26" s="551" t="s">
        <v>165</v>
      </c>
      <c r="C26" s="203"/>
      <c r="D26" s="209">
        <v>0</v>
      </c>
      <c r="E26" s="203">
        <v>33</v>
      </c>
      <c r="F26" s="550">
        <f>'Details SP'!G749</f>
        <v>38000000</v>
      </c>
      <c r="G26" s="203"/>
      <c r="H26" s="547">
        <v>0</v>
      </c>
    </row>
    <row r="27" spans="1:8" ht="12" customHeight="1" x14ac:dyDescent="0.25">
      <c r="A27" s="203">
        <v>23</v>
      </c>
      <c r="B27" s="551" t="s">
        <v>592</v>
      </c>
      <c r="C27" s="203"/>
      <c r="D27" s="209">
        <v>0</v>
      </c>
      <c r="E27" s="203">
        <v>34</v>
      </c>
      <c r="F27" s="550">
        <f>'Details SP'!G774</f>
        <v>20000000</v>
      </c>
      <c r="G27" s="203"/>
      <c r="H27" s="547">
        <v>0</v>
      </c>
    </row>
    <row r="28" spans="1:8" ht="12" customHeight="1" x14ac:dyDescent="0.25">
      <c r="A28" s="203">
        <v>24</v>
      </c>
      <c r="B28" s="551" t="s">
        <v>1148</v>
      </c>
      <c r="C28" s="203"/>
      <c r="D28" s="209"/>
      <c r="E28" s="203">
        <v>35</v>
      </c>
      <c r="F28" s="548">
        <v>0</v>
      </c>
      <c r="G28" s="203"/>
      <c r="H28" s="547">
        <v>0</v>
      </c>
    </row>
    <row r="29" spans="1:8" ht="12" customHeight="1" x14ac:dyDescent="0.25">
      <c r="A29" s="203">
        <v>25</v>
      </c>
      <c r="B29" s="549" t="s">
        <v>302</v>
      </c>
      <c r="C29" s="203"/>
      <c r="D29" s="209">
        <v>0</v>
      </c>
      <c r="E29" s="203">
        <v>36</v>
      </c>
      <c r="F29" s="422">
        <f>'Details SP'!G834</f>
        <v>10000000</v>
      </c>
      <c r="G29" s="203"/>
      <c r="H29" s="547">
        <v>0</v>
      </c>
    </row>
    <row r="30" spans="1:8" ht="12" customHeight="1" x14ac:dyDescent="0.25">
      <c r="A30" s="203">
        <v>26</v>
      </c>
      <c r="B30" s="549" t="s">
        <v>715</v>
      </c>
      <c r="C30" s="203"/>
      <c r="D30" s="209"/>
      <c r="E30" s="203">
        <v>37</v>
      </c>
      <c r="F30" s="422">
        <v>0</v>
      </c>
      <c r="G30" s="203"/>
      <c r="H30" s="547">
        <v>0</v>
      </c>
    </row>
    <row r="31" spans="1:8" ht="21.75" customHeight="1" x14ac:dyDescent="0.25">
      <c r="A31" s="203">
        <v>27</v>
      </c>
      <c r="B31" s="83" t="s">
        <v>447</v>
      </c>
      <c r="C31" s="203"/>
      <c r="D31" s="209">
        <v>0</v>
      </c>
      <c r="E31" s="203">
        <v>39</v>
      </c>
      <c r="F31" s="553">
        <f>'Details SP'!G933</f>
        <v>7000000</v>
      </c>
      <c r="G31" s="203"/>
      <c r="H31" s="547">
        <v>0</v>
      </c>
    </row>
    <row r="32" spans="1:8" ht="11.1" customHeight="1" x14ac:dyDescent="0.25">
      <c r="A32" s="203">
        <v>28</v>
      </c>
      <c r="B32" s="83" t="s">
        <v>1149</v>
      </c>
      <c r="C32" s="203"/>
      <c r="D32" s="209"/>
      <c r="E32" s="203">
        <v>40</v>
      </c>
      <c r="F32" s="553">
        <v>0</v>
      </c>
      <c r="G32" s="203"/>
      <c r="H32" s="547"/>
    </row>
    <row r="33" spans="1:10" ht="11.1" customHeight="1" x14ac:dyDescent="0.25">
      <c r="A33" s="203">
        <v>29</v>
      </c>
      <c r="B33" s="83" t="s">
        <v>231</v>
      </c>
      <c r="C33" s="203"/>
      <c r="D33" s="209">
        <v>0</v>
      </c>
      <c r="E33" s="203">
        <v>42</v>
      </c>
      <c r="F33" s="554">
        <f>'Details SP'!G1001</f>
        <v>1000000</v>
      </c>
      <c r="G33" s="203"/>
      <c r="H33" s="547">
        <v>0</v>
      </c>
    </row>
    <row r="34" spans="1:10" ht="11.1" customHeight="1" x14ac:dyDescent="0.25">
      <c r="A34" s="203">
        <v>30</v>
      </c>
      <c r="B34" s="83" t="s">
        <v>1150</v>
      </c>
      <c r="C34" s="203"/>
      <c r="D34" s="209"/>
      <c r="E34" s="203">
        <v>43</v>
      </c>
      <c r="F34" s="616">
        <v>0</v>
      </c>
      <c r="G34" s="203"/>
      <c r="H34" s="547">
        <v>0</v>
      </c>
    </row>
    <row r="35" spans="1:10" ht="11.1" customHeight="1" x14ac:dyDescent="0.25">
      <c r="A35" s="203">
        <v>31</v>
      </c>
      <c r="B35" s="83" t="s">
        <v>595</v>
      </c>
      <c r="C35" s="203"/>
      <c r="D35" s="209"/>
      <c r="E35" s="203">
        <v>44</v>
      </c>
      <c r="F35" s="616">
        <v>0</v>
      </c>
      <c r="G35" s="203"/>
      <c r="H35" s="547">
        <v>0</v>
      </c>
    </row>
    <row r="36" spans="1:10" ht="11.1" customHeight="1" x14ac:dyDescent="0.25">
      <c r="A36" s="203">
        <v>32</v>
      </c>
      <c r="B36" s="83" t="s">
        <v>332</v>
      </c>
      <c r="C36" s="203"/>
      <c r="D36" s="209">
        <v>0</v>
      </c>
      <c r="E36" s="203">
        <v>45</v>
      </c>
      <c r="F36" s="553">
        <f>'Details SP'!G1114</f>
        <v>118000000</v>
      </c>
      <c r="G36" s="203"/>
      <c r="H36" s="547">
        <v>0</v>
      </c>
    </row>
    <row r="37" spans="1:10" ht="11.1" customHeight="1" x14ac:dyDescent="0.25">
      <c r="A37" s="203">
        <v>33</v>
      </c>
      <c r="B37" s="83" t="s">
        <v>591</v>
      </c>
      <c r="C37" s="203"/>
      <c r="D37" s="209">
        <v>0</v>
      </c>
      <c r="E37" s="203">
        <v>46</v>
      </c>
      <c r="F37" s="553">
        <f>'Details SP'!G1130</f>
        <v>500000</v>
      </c>
      <c r="G37" s="203"/>
      <c r="H37" s="547">
        <v>0</v>
      </c>
    </row>
    <row r="38" spans="1:10" ht="11.1" customHeight="1" x14ac:dyDescent="0.25">
      <c r="A38" s="203">
        <v>34</v>
      </c>
      <c r="B38" s="85" t="s">
        <v>1151</v>
      </c>
      <c r="C38" s="203">
        <v>47</v>
      </c>
      <c r="D38" s="209">
        <f>'Details SP'!G1165</f>
        <v>550000000</v>
      </c>
      <c r="E38" s="203"/>
      <c r="F38" s="422">
        <v>0</v>
      </c>
      <c r="G38" s="203"/>
      <c r="H38" s="547">
        <v>0</v>
      </c>
    </row>
    <row r="39" spans="1:10" ht="11.1" customHeight="1" x14ac:dyDescent="0.25">
      <c r="A39" s="203">
        <v>35</v>
      </c>
      <c r="B39" s="551" t="s">
        <v>457</v>
      </c>
      <c r="C39" s="203">
        <v>48</v>
      </c>
      <c r="D39" s="209">
        <v>0</v>
      </c>
      <c r="E39" s="203"/>
      <c r="F39" s="422">
        <f>'Details SP'!G1183</f>
        <v>2700000000</v>
      </c>
      <c r="G39" s="203"/>
      <c r="H39" s="547">
        <v>0</v>
      </c>
    </row>
    <row r="40" spans="1:10" ht="11.1" customHeight="1" x14ac:dyDescent="0.25">
      <c r="A40" s="203"/>
      <c r="B40" s="555" t="s">
        <v>3</v>
      </c>
      <c r="C40" s="122"/>
      <c r="D40" s="556">
        <f>SUM(D6:D39)</f>
        <v>667548540</v>
      </c>
      <c r="E40" s="545"/>
      <c r="F40" s="557">
        <f>SUM(F6:F39)</f>
        <v>9957334000</v>
      </c>
      <c r="G40" s="56"/>
      <c r="H40" s="558">
        <f>SUM(H6:H39)</f>
        <v>50000000</v>
      </c>
      <c r="I40" s="4"/>
      <c r="J40" s="7"/>
    </row>
    <row r="41" spans="1:10" ht="12" customHeight="1" x14ac:dyDescent="0.25">
      <c r="A41" s="56"/>
      <c r="B41" s="555" t="s">
        <v>4</v>
      </c>
      <c r="C41" s="122"/>
      <c r="D41" s="559"/>
      <c r="E41" s="559"/>
      <c r="F41" s="559">
        <f>D40+F40+H40</f>
        <v>10674882540</v>
      </c>
      <c r="G41" s="560"/>
      <c r="H41" s="561"/>
      <c r="I41" s="3"/>
    </row>
    <row r="42" spans="1:10" ht="18.75" x14ac:dyDescent="0.3">
      <c r="A42" s="1"/>
      <c r="B42" s="1"/>
      <c r="C42" s="1"/>
      <c r="D42" s="1"/>
      <c r="E42" s="1"/>
      <c r="F42" s="1"/>
      <c r="G42" s="1"/>
      <c r="H42" s="2"/>
    </row>
    <row r="43" spans="1:10" ht="18.75" x14ac:dyDescent="0.3">
      <c r="A43" s="1"/>
      <c r="B43" s="1"/>
      <c r="C43" s="1"/>
      <c r="D43" s="1"/>
      <c r="E43" s="1"/>
      <c r="F43" s="598"/>
      <c r="G43" s="2"/>
      <c r="H43" s="2"/>
    </row>
    <row r="44" spans="1:10" ht="18.75" x14ac:dyDescent="0.3">
      <c r="A44" s="1"/>
      <c r="B44" s="1"/>
      <c r="C44" s="1"/>
      <c r="D44" s="1"/>
      <c r="E44" s="1"/>
      <c r="F44" s="1"/>
      <c r="G44" s="1"/>
      <c r="H44" s="2"/>
    </row>
    <row r="45" spans="1:10" ht="18.75" x14ac:dyDescent="0.3">
      <c r="A45" s="1"/>
      <c r="B45" s="1"/>
      <c r="C45" s="1"/>
      <c r="D45" s="1"/>
      <c r="E45" s="1"/>
      <c r="F45" s="1"/>
      <c r="G45" s="1"/>
      <c r="H45" s="2"/>
    </row>
    <row r="46" spans="1:10" ht="18.75" x14ac:dyDescent="0.3">
      <c r="A46" s="1"/>
      <c r="B46" s="1"/>
      <c r="C46" s="1"/>
      <c r="D46" s="1"/>
      <c r="E46" s="1"/>
      <c r="F46" s="1"/>
      <c r="G46" s="1"/>
      <c r="H46" s="1"/>
    </row>
  </sheetData>
  <mergeCells count="3">
    <mergeCell ref="A1:H1"/>
    <mergeCell ref="A2:H2"/>
    <mergeCell ref="A3:H3"/>
  </mergeCells>
  <pageMargins left="0.7" right="0.7" top="0.75" bottom="0.65" header="0.3" footer="0.3"/>
  <pageSetup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28" sqref="C28"/>
    </sheetView>
  </sheetViews>
  <sheetFormatPr defaultRowHeight="15" x14ac:dyDescent="0.25"/>
  <cols>
    <col min="1" max="1" width="5" customWidth="1"/>
    <col min="2" max="2" width="55.42578125" customWidth="1"/>
    <col min="3" max="3" width="12.28515625" customWidth="1"/>
    <col min="4" max="4" width="26.28515625" customWidth="1"/>
    <col min="5" max="5" width="15.28515625" bestFit="1" customWidth="1"/>
    <col min="6" max="6" width="24.7109375" customWidth="1"/>
  </cols>
  <sheetData>
    <row r="1" spans="1:4" ht="16.5" x14ac:dyDescent="0.25">
      <c r="A1" s="68"/>
      <c r="B1" s="88" t="s">
        <v>1169</v>
      </c>
      <c r="C1" s="68"/>
      <c r="D1" s="68"/>
    </row>
    <row r="2" spans="1:4" ht="16.5" x14ac:dyDescent="0.25">
      <c r="A2" s="68"/>
      <c r="B2" s="88" t="s">
        <v>1168</v>
      </c>
      <c r="C2" s="68"/>
      <c r="D2" s="68"/>
    </row>
    <row r="3" spans="1:4" ht="16.5" x14ac:dyDescent="0.25">
      <c r="A3" s="68"/>
      <c r="B3" s="89" t="s">
        <v>1170</v>
      </c>
      <c r="C3" s="68"/>
      <c r="D3" s="68"/>
    </row>
    <row r="4" spans="1:4" ht="16.5" x14ac:dyDescent="0.25">
      <c r="A4" s="68"/>
      <c r="B4" s="89"/>
      <c r="C4" s="68"/>
      <c r="D4" s="68"/>
    </row>
    <row r="5" spans="1:4" ht="16.5" x14ac:dyDescent="0.25">
      <c r="A5" s="68"/>
      <c r="B5" s="89" t="s">
        <v>6</v>
      </c>
      <c r="C5" s="68"/>
      <c r="D5" s="68"/>
    </row>
    <row r="6" spans="1:4" x14ac:dyDescent="0.25">
      <c r="A6" s="93" t="s">
        <v>0</v>
      </c>
      <c r="B6" s="93" t="s">
        <v>1</v>
      </c>
      <c r="C6" s="93" t="s">
        <v>2</v>
      </c>
      <c r="D6" s="152" t="s">
        <v>228</v>
      </c>
    </row>
    <row r="7" spans="1:4" ht="16.5" x14ac:dyDescent="0.25">
      <c r="A7" s="70">
        <v>1</v>
      </c>
      <c r="B7" s="594" t="s">
        <v>1157</v>
      </c>
      <c r="C7" s="223">
        <v>55</v>
      </c>
      <c r="D7" s="593">
        <f>'Project detail capital'!F9</f>
        <v>300000000</v>
      </c>
    </row>
    <row r="8" spans="1:4" ht="21.95" customHeight="1" x14ac:dyDescent="0.25">
      <c r="A8" s="70">
        <v>2</v>
      </c>
      <c r="B8" s="179" t="s">
        <v>300</v>
      </c>
      <c r="C8" s="223">
        <v>55</v>
      </c>
      <c r="D8" s="180">
        <f>'Project detail capital'!F14</f>
        <v>5400000</v>
      </c>
    </row>
    <row r="9" spans="1:4" ht="21.95" customHeight="1" x14ac:dyDescent="0.25">
      <c r="A9" s="70">
        <v>3</v>
      </c>
      <c r="B9" s="264" t="s">
        <v>442</v>
      </c>
      <c r="C9" s="223">
        <v>55</v>
      </c>
      <c r="D9" s="180">
        <f>'Project detail capital'!F21</f>
        <v>6000000</v>
      </c>
    </row>
    <row r="10" spans="1:4" ht="21.95" customHeight="1" x14ac:dyDescent="0.25">
      <c r="A10" s="70">
        <v>4</v>
      </c>
      <c r="B10" s="264" t="s">
        <v>443</v>
      </c>
      <c r="C10" s="223">
        <v>55</v>
      </c>
      <c r="D10" s="180">
        <f>'Project detail capital'!F25</f>
        <v>2000000</v>
      </c>
    </row>
    <row r="11" spans="1:4" ht="21.95" customHeight="1" x14ac:dyDescent="0.25">
      <c r="A11" s="70">
        <v>5</v>
      </c>
      <c r="B11" s="264" t="s">
        <v>444</v>
      </c>
      <c r="C11" s="223">
        <v>55</v>
      </c>
      <c r="D11" s="180">
        <f>'Project detail capital'!F29</f>
        <v>3500000</v>
      </c>
    </row>
    <row r="12" spans="1:4" ht="21.95" customHeight="1" x14ac:dyDescent="0.25">
      <c r="A12" s="70">
        <v>6</v>
      </c>
      <c r="B12" s="264" t="s">
        <v>458</v>
      </c>
      <c r="C12" s="223">
        <v>55</v>
      </c>
      <c r="D12" s="180">
        <f>'Project detail capital'!F33</f>
        <v>3000000</v>
      </c>
    </row>
    <row r="13" spans="1:4" ht="21.95" customHeight="1" x14ac:dyDescent="0.25">
      <c r="A13" s="70">
        <v>7</v>
      </c>
      <c r="B13" s="264" t="s">
        <v>445</v>
      </c>
      <c r="C13" s="223">
        <v>56</v>
      </c>
      <c r="D13" s="180">
        <f>'Project detail capital'!F37</f>
        <v>4000000000</v>
      </c>
    </row>
    <row r="14" spans="1:4" ht="21.95" customHeight="1" x14ac:dyDescent="0.25">
      <c r="A14" s="70">
        <v>8</v>
      </c>
      <c r="B14" s="264" t="s">
        <v>333</v>
      </c>
      <c r="C14" s="223">
        <v>56</v>
      </c>
      <c r="D14" s="180">
        <f>'Project detail capital'!F47</f>
        <v>102000000</v>
      </c>
    </row>
    <row r="15" spans="1:4" ht="21.95" customHeight="1" x14ac:dyDescent="0.25">
      <c r="A15" s="70">
        <v>9</v>
      </c>
      <c r="B15" s="264" t="s">
        <v>726</v>
      </c>
      <c r="C15" s="223">
        <v>56</v>
      </c>
      <c r="D15" s="180">
        <f>'Project detail capital'!F51</f>
        <v>12000000</v>
      </c>
    </row>
    <row r="16" spans="1:4" ht="21.95" customHeight="1" x14ac:dyDescent="0.25">
      <c r="A16" s="70">
        <v>10</v>
      </c>
      <c r="B16" s="264" t="s">
        <v>446</v>
      </c>
      <c r="C16" s="223">
        <v>56</v>
      </c>
      <c r="D16" s="180">
        <f>'Project detail capital'!F57</f>
        <v>36500000</v>
      </c>
    </row>
    <row r="17" spans="1:6" ht="21.95" customHeight="1" x14ac:dyDescent="0.25">
      <c r="A17" s="70">
        <v>11</v>
      </c>
      <c r="B17" s="264" t="s">
        <v>592</v>
      </c>
      <c r="C17" s="223">
        <v>57</v>
      </c>
      <c r="D17" s="180">
        <f>'Project detail capital'!F61</f>
        <v>120000000</v>
      </c>
    </row>
    <row r="18" spans="1:6" ht="21.95" customHeight="1" x14ac:dyDescent="0.25">
      <c r="A18" s="70">
        <v>12</v>
      </c>
      <c r="B18" s="264" t="s">
        <v>715</v>
      </c>
      <c r="C18" s="223">
        <v>57</v>
      </c>
      <c r="D18" s="180">
        <f>'Pooled Fund SP'!H45</f>
        <v>10000000</v>
      </c>
    </row>
    <row r="19" spans="1:6" ht="21.95" customHeight="1" x14ac:dyDescent="0.25">
      <c r="A19" s="70">
        <v>13</v>
      </c>
      <c r="B19" s="264" t="s">
        <v>448</v>
      </c>
      <c r="C19" s="223">
        <v>57</v>
      </c>
      <c r="D19" s="180">
        <f>'Project detail capital'!F69</f>
        <v>20000000</v>
      </c>
    </row>
    <row r="20" spans="1:6" ht="21.95" customHeight="1" x14ac:dyDescent="0.25">
      <c r="A20" s="70">
        <v>14</v>
      </c>
      <c r="B20" s="264" t="s">
        <v>595</v>
      </c>
      <c r="C20" s="223">
        <v>57</v>
      </c>
      <c r="D20" s="180">
        <f>'Project detail capital'!F73</f>
        <v>196000000</v>
      </c>
    </row>
    <row r="21" spans="1:6" ht="21.95" customHeight="1" x14ac:dyDescent="0.25">
      <c r="A21" s="70">
        <v>15</v>
      </c>
      <c r="B21" s="264" t="s">
        <v>332</v>
      </c>
      <c r="C21" s="223">
        <v>57</v>
      </c>
      <c r="D21" s="180">
        <f>'Project detail capital'!F77</f>
        <v>30000000</v>
      </c>
    </row>
    <row r="22" spans="1:6" ht="21.95" customHeight="1" x14ac:dyDescent="0.25">
      <c r="A22" s="70">
        <v>16</v>
      </c>
      <c r="B22" s="181" t="s">
        <v>317</v>
      </c>
      <c r="C22" s="223">
        <v>57</v>
      </c>
      <c r="D22" s="180">
        <f>'Project detail capital'!F81</f>
        <v>113165000</v>
      </c>
    </row>
    <row r="23" spans="1:6" ht="21.95" customHeight="1" x14ac:dyDescent="0.25">
      <c r="A23" s="70">
        <v>17</v>
      </c>
      <c r="B23" s="181" t="s">
        <v>231</v>
      </c>
      <c r="C23" s="223">
        <v>57</v>
      </c>
      <c r="D23" s="180">
        <f>'Project detail capital'!F86</f>
        <v>21000000</v>
      </c>
      <c r="F23" s="5"/>
    </row>
    <row r="24" spans="1:6" ht="21.95" customHeight="1" x14ac:dyDescent="0.25">
      <c r="A24" s="92"/>
      <c r="B24" s="182" t="s">
        <v>3</v>
      </c>
      <c r="C24" s="90"/>
      <c r="D24" s="183">
        <f>SUM(D7:D23)</f>
        <v>4980565000</v>
      </c>
      <c r="E24" s="4"/>
      <c r="F24" s="6"/>
    </row>
    <row r="25" spans="1:6" ht="18.75" x14ac:dyDescent="0.3">
      <c r="A25" s="184"/>
      <c r="B25" s="184">
        <v>3</v>
      </c>
      <c r="C25" s="184"/>
      <c r="D25" s="184"/>
    </row>
    <row r="26" spans="1:6" ht="18.75" x14ac:dyDescent="0.3">
      <c r="A26" s="184"/>
      <c r="B26" s="184"/>
      <c r="C26" s="232"/>
      <c r="D26" s="184"/>
    </row>
    <row r="27" spans="1:6" ht="18.75" x14ac:dyDescent="0.3">
      <c r="A27" s="184"/>
      <c r="B27" s="184"/>
      <c r="C27" s="184"/>
      <c r="D27" s="184"/>
    </row>
    <row r="28" spans="1:6" ht="18.75" x14ac:dyDescent="0.3">
      <c r="A28" s="1"/>
      <c r="B28" s="1"/>
      <c r="C28" s="1"/>
      <c r="D28" s="1"/>
    </row>
    <row r="29" spans="1:6" ht="18.75" x14ac:dyDescent="0.3">
      <c r="A29" s="1"/>
      <c r="B29" s="1"/>
      <c r="C29" s="1"/>
      <c r="D29" s="1"/>
    </row>
  </sheetData>
  <sortState ref="B6:D18">
    <sortCondition ref="C6:C18"/>
  </sortState>
  <pageMargins left="1.7" right="0.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6" sqref="I6"/>
    </sheetView>
  </sheetViews>
  <sheetFormatPr defaultRowHeight="15" x14ac:dyDescent="0.25"/>
  <cols>
    <col min="1" max="1" width="4" customWidth="1"/>
    <col min="2" max="2" width="23" customWidth="1"/>
    <col min="3" max="3" width="6.28515625" style="30" customWidth="1"/>
    <col min="4" max="4" width="10.85546875" style="30" customWidth="1"/>
    <col min="5" max="5" width="26" customWidth="1"/>
    <col min="6" max="7" width="15.5703125" customWidth="1"/>
    <col min="8" max="8" width="15" customWidth="1"/>
    <col min="9" max="9" width="14.42578125" customWidth="1"/>
    <col min="10" max="10" width="15" bestFit="1" customWidth="1"/>
    <col min="13" max="13" width="10" bestFit="1" customWidth="1"/>
  </cols>
  <sheetData>
    <row r="1" spans="1:9" x14ac:dyDescent="0.25">
      <c r="A1" s="625" t="s">
        <v>7</v>
      </c>
      <c r="B1" s="625"/>
      <c r="C1" s="625"/>
      <c r="D1" s="625"/>
      <c r="E1" s="625"/>
      <c r="F1" s="625"/>
      <c r="G1" s="625"/>
      <c r="H1" s="625"/>
      <c r="I1" s="625"/>
    </row>
    <row r="2" spans="1:9" x14ac:dyDescent="0.25">
      <c r="A2" s="625" t="s">
        <v>1171</v>
      </c>
      <c r="B2" s="623"/>
      <c r="C2" s="623"/>
      <c r="D2" s="623"/>
      <c r="E2" s="623"/>
      <c r="F2" s="623"/>
      <c r="G2" s="623"/>
      <c r="H2" s="623"/>
      <c r="I2" s="623"/>
    </row>
    <row r="3" spans="1:9" x14ac:dyDescent="0.25">
      <c r="A3" s="625" t="s">
        <v>267</v>
      </c>
      <c r="B3" s="625"/>
      <c r="C3" s="625"/>
      <c r="D3" s="625"/>
      <c r="E3" s="625"/>
      <c r="F3" s="625"/>
      <c r="G3" s="625"/>
      <c r="H3" s="625"/>
      <c r="I3" s="625"/>
    </row>
    <row r="4" spans="1:9" x14ac:dyDescent="0.25">
      <c r="A4" s="68"/>
      <c r="B4" s="55"/>
      <c r="C4" s="55"/>
      <c r="D4" s="55"/>
      <c r="E4" s="55"/>
      <c r="F4" s="55"/>
      <c r="G4" s="55"/>
      <c r="H4" s="68"/>
      <c r="I4" s="68"/>
    </row>
    <row r="5" spans="1:9" x14ac:dyDescent="0.25">
      <c r="A5" s="626" t="s">
        <v>144</v>
      </c>
      <c r="B5" s="626"/>
      <c r="C5" s="626"/>
      <c r="D5" s="626"/>
      <c r="E5" s="626"/>
      <c r="F5" s="626"/>
      <c r="G5" s="626"/>
      <c r="H5" s="626"/>
      <c r="I5" s="626"/>
    </row>
    <row r="6" spans="1:9" s="30" customFormat="1" ht="26.1" customHeight="1" x14ac:dyDescent="0.2">
      <c r="A6" s="75" t="s">
        <v>0</v>
      </c>
      <c r="B6" s="75" t="s">
        <v>153</v>
      </c>
      <c r="C6" s="75" t="s">
        <v>2</v>
      </c>
      <c r="D6" s="74" t="s">
        <v>17</v>
      </c>
      <c r="E6" s="75" t="s">
        <v>28</v>
      </c>
      <c r="F6" s="74" t="s">
        <v>459</v>
      </c>
      <c r="G6" s="74" t="s">
        <v>232</v>
      </c>
      <c r="H6" s="74" t="s">
        <v>29</v>
      </c>
      <c r="I6" s="74" t="s">
        <v>1172</v>
      </c>
    </row>
    <row r="7" spans="1:9" s="32" customFormat="1" ht="23.1" customHeight="1" x14ac:dyDescent="0.25">
      <c r="A7" s="70">
        <v>1</v>
      </c>
      <c r="B7" s="70">
        <v>2</v>
      </c>
      <c r="C7" s="162">
        <v>3</v>
      </c>
      <c r="D7" s="132" t="s">
        <v>20</v>
      </c>
      <c r="E7" s="125">
        <v>5</v>
      </c>
      <c r="F7" s="133">
        <v>6</v>
      </c>
      <c r="G7" s="133" t="s">
        <v>22</v>
      </c>
      <c r="H7" s="134">
        <v>8</v>
      </c>
      <c r="I7" s="134" t="s">
        <v>30</v>
      </c>
    </row>
    <row r="8" spans="1:9" s="32" customFormat="1" ht="23.1" customHeight="1" thickBot="1" x14ac:dyDescent="0.3">
      <c r="A8" s="163">
        <v>1</v>
      </c>
      <c r="B8" s="227"/>
      <c r="C8" s="162"/>
      <c r="D8" s="185"/>
      <c r="E8" s="228" t="s">
        <v>597</v>
      </c>
      <c r="F8" s="218">
        <v>163230747.22</v>
      </c>
      <c r="G8" s="214"/>
      <c r="H8" s="186">
        <v>157548540</v>
      </c>
      <c r="I8" s="164">
        <f>F8-H8</f>
        <v>5682207.2199999988</v>
      </c>
    </row>
    <row r="9" spans="1:9" ht="15.75" customHeight="1" thickBot="1" x14ac:dyDescent="0.3">
      <c r="A9" s="129"/>
      <c r="B9" s="128"/>
      <c r="C9" s="128"/>
      <c r="D9" s="128"/>
      <c r="E9" s="187" t="s">
        <v>229</v>
      </c>
      <c r="F9" s="178">
        <f>SUM(F8:F8)</f>
        <v>163230747.22</v>
      </c>
      <c r="G9" s="178">
        <f>SUM(G8:G8)</f>
        <v>0</v>
      </c>
      <c r="H9" s="178">
        <f>SUM(H8:H8)</f>
        <v>157548540</v>
      </c>
      <c r="I9" s="178">
        <f>SUM(I8:I8)</f>
        <v>5682207.2199999988</v>
      </c>
    </row>
    <row r="10" spans="1:9" ht="15.75" thickBot="1" x14ac:dyDescent="0.3">
      <c r="A10" s="165"/>
      <c r="B10" s="166"/>
      <c r="C10" s="167"/>
      <c r="D10" s="167"/>
      <c r="E10" s="124" t="s">
        <v>31</v>
      </c>
      <c r="F10" s="168">
        <f>SUM(F9)</f>
        <v>163230747.22</v>
      </c>
      <c r="G10" s="168">
        <f>SUM(G9)</f>
        <v>0</v>
      </c>
      <c r="H10" s="168">
        <f>SUM(H9)</f>
        <v>157548540</v>
      </c>
      <c r="I10" s="225">
        <f>SUM(I9)</f>
        <v>5682207.2199999988</v>
      </c>
    </row>
    <row r="17" spans="5:12" x14ac:dyDescent="0.25">
      <c r="E17" s="3"/>
      <c r="L17" s="176"/>
    </row>
    <row r="31" spans="5:12" x14ac:dyDescent="0.25">
      <c r="E31">
        <v>4</v>
      </c>
    </row>
  </sheetData>
  <mergeCells count="4">
    <mergeCell ref="A1:I1"/>
    <mergeCell ref="A2:I2"/>
    <mergeCell ref="A5:I5"/>
    <mergeCell ref="A3:I3"/>
  </mergeCells>
  <pageMargins left="0.13" right="0.13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J6" sqref="J6"/>
    </sheetView>
  </sheetViews>
  <sheetFormatPr defaultRowHeight="15" x14ac:dyDescent="0.25"/>
  <cols>
    <col min="1" max="1" width="4.7109375" customWidth="1"/>
    <col min="2" max="2" width="23" customWidth="1"/>
    <col min="3" max="3" width="6.28515625" style="30" customWidth="1"/>
    <col min="4" max="4" width="10.140625" style="30" customWidth="1"/>
    <col min="5" max="5" width="26.42578125" customWidth="1"/>
    <col min="6" max="6" width="13.28515625" customWidth="1"/>
    <col min="7" max="7" width="13.140625" customWidth="1"/>
    <col min="8" max="8" width="13.5703125" customWidth="1"/>
    <col min="9" max="9" width="13" customWidth="1"/>
    <col min="10" max="10" width="15" bestFit="1" customWidth="1"/>
  </cols>
  <sheetData>
    <row r="1" spans="1:9" x14ac:dyDescent="0.25">
      <c r="A1" s="625" t="s">
        <v>7</v>
      </c>
      <c r="B1" s="625"/>
      <c r="C1" s="625"/>
      <c r="D1" s="625"/>
      <c r="E1" s="625"/>
      <c r="F1" s="625"/>
      <c r="G1" s="625"/>
      <c r="H1" s="625"/>
      <c r="I1" s="625"/>
    </row>
    <row r="2" spans="1:9" x14ac:dyDescent="0.25">
      <c r="A2" s="625" t="s">
        <v>1171</v>
      </c>
      <c r="B2" s="623"/>
      <c r="C2" s="623"/>
      <c r="D2" s="623"/>
      <c r="E2" s="623"/>
      <c r="F2" s="623"/>
      <c r="G2" s="623"/>
      <c r="H2" s="623"/>
      <c r="I2" s="623"/>
    </row>
    <row r="3" spans="1:9" x14ac:dyDescent="0.25">
      <c r="A3" s="625" t="s">
        <v>268</v>
      </c>
      <c r="B3" s="625"/>
      <c r="C3" s="625"/>
      <c r="D3" s="625"/>
      <c r="E3" s="625"/>
      <c r="F3" s="625"/>
      <c r="G3" s="625"/>
      <c r="H3" s="625"/>
      <c r="I3" s="625"/>
    </row>
    <row r="4" spans="1:9" x14ac:dyDescent="0.25">
      <c r="A4" s="68"/>
      <c r="B4" s="55"/>
      <c r="C4" s="55"/>
      <c r="D4" s="55"/>
      <c r="E4" s="55"/>
      <c r="F4" s="55"/>
      <c r="G4" s="55"/>
      <c r="H4" s="68"/>
      <c r="I4" s="68"/>
    </row>
    <row r="5" spans="1:9" x14ac:dyDescent="0.25">
      <c r="A5" s="626" t="s">
        <v>269</v>
      </c>
      <c r="B5" s="626"/>
      <c r="C5" s="626"/>
      <c r="D5" s="626"/>
      <c r="E5" s="626"/>
      <c r="F5" s="626"/>
      <c r="G5" s="626"/>
      <c r="H5" s="626"/>
      <c r="I5" s="626"/>
    </row>
    <row r="6" spans="1:9" s="30" customFormat="1" ht="26.1" customHeight="1" x14ac:dyDescent="0.2">
      <c r="A6" s="202" t="s">
        <v>0</v>
      </c>
      <c r="B6" s="202" t="s">
        <v>153</v>
      </c>
      <c r="C6" s="202" t="s">
        <v>2</v>
      </c>
      <c r="D6" s="161" t="s">
        <v>17</v>
      </c>
      <c r="E6" s="202" t="s">
        <v>28</v>
      </c>
      <c r="F6" s="161" t="s">
        <v>459</v>
      </c>
      <c r="G6" s="161" t="s">
        <v>232</v>
      </c>
      <c r="H6" s="161" t="s">
        <v>29</v>
      </c>
      <c r="I6" s="161" t="s">
        <v>1172</v>
      </c>
    </row>
    <row r="7" spans="1:9" s="32" customFormat="1" ht="23.1" customHeight="1" x14ac:dyDescent="0.25">
      <c r="A7" s="203">
        <v>1</v>
      </c>
      <c r="B7" s="203">
        <v>2</v>
      </c>
      <c r="C7" s="204">
        <v>3</v>
      </c>
      <c r="D7" s="205" t="s">
        <v>20</v>
      </c>
      <c r="E7" s="206">
        <v>5</v>
      </c>
      <c r="F7" s="207">
        <v>6</v>
      </c>
      <c r="G7" s="207" t="s">
        <v>22</v>
      </c>
      <c r="H7" s="205">
        <v>8</v>
      </c>
      <c r="I7" s="205" t="s">
        <v>30</v>
      </c>
    </row>
    <row r="8" spans="1:9" s="6" customFormat="1" ht="13.5" customHeight="1" x14ac:dyDescent="0.25">
      <c r="A8" s="203"/>
      <c r="B8" s="122"/>
      <c r="C8" s="203"/>
      <c r="D8" s="197"/>
      <c r="E8" s="83"/>
      <c r="F8" s="208"/>
      <c r="G8" s="208"/>
      <c r="H8" s="209"/>
      <c r="I8" s="209"/>
    </row>
    <row r="9" spans="1:9" s="6" customFormat="1" ht="33.75" customHeight="1" x14ac:dyDescent="0.25">
      <c r="A9" s="203">
        <v>1</v>
      </c>
      <c r="B9" s="87" t="s">
        <v>104</v>
      </c>
      <c r="C9" s="203"/>
      <c r="D9" s="242">
        <v>22100233</v>
      </c>
      <c r="E9" s="244" t="s">
        <v>466</v>
      </c>
      <c r="F9" s="333">
        <v>30000000</v>
      </c>
      <c r="G9" s="334">
        <v>0</v>
      </c>
      <c r="H9" s="333">
        <v>20000000</v>
      </c>
      <c r="I9" s="323">
        <f>F9-H9</f>
        <v>10000000</v>
      </c>
    </row>
    <row r="10" spans="1:9" s="6" customFormat="1" ht="39.75" customHeight="1" thickBot="1" x14ac:dyDescent="0.3">
      <c r="A10" s="520"/>
      <c r="B10" s="302"/>
      <c r="C10" s="346"/>
      <c r="D10" s="402" t="s">
        <v>716</v>
      </c>
      <c r="E10" s="403" t="s">
        <v>717</v>
      </c>
      <c r="F10" s="322">
        <v>100000000</v>
      </c>
      <c r="G10" s="333" t="s">
        <v>633</v>
      </c>
      <c r="H10" s="322">
        <v>95000000</v>
      </c>
      <c r="I10" s="323">
        <f>F10-H10</f>
        <v>5000000</v>
      </c>
    </row>
    <row r="11" spans="1:9" s="6" customFormat="1" ht="36" customHeight="1" thickBot="1" x14ac:dyDescent="0.3">
      <c r="A11" s="325"/>
      <c r="B11" s="86"/>
      <c r="C11" s="326"/>
      <c r="D11" s="299"/>
      <c r="E11" s="86" t="s">
        <v>460</v>
      </c>
      <c r="F11" s="328">
        <f t="shared" ref="F11:H11" si="0">SUM(F9:F10)</f>
        <v>130000000</v>
      </c>
      <c r="G11" s="328">
        <f t="shared" si="0"/>
        <v>0</v>
      </c>
      <c r="H11" s="328">
        <f t="shared" si="0"/>
        <v>115000000</v>
      </c>
      <c r="I11" s="328">
        <f>SUM(I9:I10)</f>
        <v>15000000</v>
      </c>
    </row>
    <row r="12" spans="1:9" s="6" customFormat="1" ht="6.75" customHeight="1" x14ac:dyDescent="0.25">
      <c r="A12" s="272"/>
      <c r="B12" s="144"/>
      <c r="C12" s="272"/>
      <c r="D12" s="277"/>
      <c r="E12" s="144"/>
      <c r="F12" s="324"/>
      <c r="G12" s="324"/>
      <c r="H12" s="324"/>
      <c r="I12" s="324"/>
    </row>
    <row r="13" spans="1:9" s="6" customFormat="1" ht="24" customHeight="1" x14ac:dyDescent="0.25">
      <c r="A13" s="203">
        <v>2</v>
      </c>
      <c r="B13" s="87" t="s">
        <v>216</v>
      </c>
      <c r="C13" s="203"/>
      <c r="D13" s="242">
        <v>22100367</v>
      </c>
      <c r="E13" s="244" t="s">
        <v>461</v>
      </c>
      <c r="F13" s="208">
        <v>30000000</v>
      </c>
      <c r="G13" s="210">
        <v>0</v>
      </c>
      <c r="H13" s="208">
        <v>15000000</v>
      </c>
      <c r="I13" s="209">
        <f t="shared" ref="I13:I14" si="1">F13-H13</f>
        <v>15000000</v>
      </c>
    </row>
    <row r="14" spans="1:9" s="6" customFormat="1" ht="36" customHeight="1" thickBot="1" x14ac:dyDescent="0.3">
      <c r="A14" s="204"/>
      <c r="B14" s="135"/>
      <c r="C14" s="204"/>
      <c r="D14" s="320">
        <v>22100597</v>
      </c>
      <c r="E14" s="332" t="s">
        <v>462</v>
      </c>
      <c r="F14" s="322">
        <v>50000000</v>
      </c>
      <c r="G14" s="334">
        <v>0</v>
      </c>
      <c r="H14" s="322">
        <v>30000000</v>
      </c>
      <c r="I14" s="323">
        <f t="shared" si="1"/>
        <v>20000000</v>
      </c>
    </row>
    <row r="15" spans="1:9" s="6" customFormat="1" ht="23.25" customHeight="1" thickBot="1" x14ac:dyDescent="0.3">
      <c r="A15" s="325"/>
      <c r="B15" s="86"/>
      <c r="C15" s="326"/>
      <c r="D15" s="299"/>
      <c r="E15" s="86" t="s">
        <v>463</v>
      </c>
      <c r="F15" s="327">
        <f t="shared" ref="F15:I15" si="2">SUM(F13:F14)</f>
        <v>80000000</v>
      </c>
      <c r="G15" s="327">
        <f t="shared" si="2"/>
        <v>0</v>
      </c>
      <c r="H15" s="327">
        <f t="shared" si="2"/>
        <v>45000000</v>
      </c>
      <c r="I15" s="328">
        <f t="shared" si="2"/>
        <v>35000000</v>
      </c>
    </row>
    <row r="16" spans="1:9" s="6" customFormat="1" ht="6.75" customHeight="1" x14ac:dyDescent="0.25">
      <c r="A16" s="272"/>
      <c r="B16" s="144"/>
      <c r="C16" s="272"/>
      <c r="D16" s="277"/>
      <c r="E16" s="144"/>
      <c r="F16" s="324"/>
      <c r="G16" s="324"/>
      <c r="H16" s="324"/>
      <c r="I16" s="324"/>
    </row>
    <row r="17" spans="1:9" s="6" customFormat="1" ht="36" customHeight="1" thickBot="1" x14ac:dyDescent="0.3">
      <c r="A17" s="204">
        <v>3</v>
      </c>
      <c r="B17" s="278" t="s">
        <v>257</v>
      </c>
      <c r="C17" s="204"/>
      <c r="D17" s="320">
        <v>22100643</v>
      </c>
      <c r="E17" s="332" t="s">
        <v>464</v>
      </c>
      <c r="F17" s="322">
        <v>25000000</v>
      </c>
      <c r="G17" s="322">
        <v>900000</v>
      </c>
      <c r="H17" s="322">
        <v>15000000</v>
      </c>
      <c r="I17" s="323">
        <f t="shared" ref="I17" si="3">F17-H17</f>
        <v>10000000</v>
      </c>
    </row>
    <row r="18" spans="1:9" s="6" customFormat="1" ht="36" customHeight="1" thickBot="1" x14ac:dyDescent="0.3">
      <c r="A18" s="325"/>
      <c r="B18" s="86"/>
      <c r="C18" s="326"/>
      <c r="D18" s="299"/>
      <c r="E18" s="335" t="s">
        <v>465</v>
      </c>
      <c r="F18" s="327">
        <f t="shared" ref="F18:H18" si="4">SUM(F17:F17)</f>
        <v>25000000</v>
      </c>
      <c r="G18" s="327">
        <f t="shared" si="4"/>
        <v>900000</v>
      </c>
      <c r="H18" s="327">
        <f t="shared" si="4"/>
        <v>15000000</v>
      </c>
      <c r="I18" s="328">
        <f>SUM(I17:I17)</f>
        <v>10000000</v>
      </c>
    </row>
    <row r="19" spans="1:9" s="6" customFormat="1" ht="7.5" customHeight="1" x14ac:dyDescent="0.25">
      <c r="A19" s="272"/>
      <c r="B19" s="144"/>
      <c r="C19" s="272"/>
      <c r="D19" s="277"/>
      <c r="E19" s="144"/>
      <c r="F19" s="324"/>
      <c r="G19" s="324"/>
      <c r="H19" s="324"/>
      <c r="I19" s="324"/>
    </row>
    <row r="20" spans="1:9" s="6" customFormat="1" ht="25.5" customHeight="1" thickBot="1" x14ac:dyDescent="0.3">
      <c r="A20" s="204">
        <v>4</v>
      </c>
      <c r="B20" s="278" t="s">
        <v>97</v>
      </c>
      <c r="C20" s="204"/>
      <c r="D20" s="320">
        <v>22100595</v>
      </c>
      <c r="E20" s="332" t="s">
        <v>467</v>
      </c>
      <c r="F20" s="322">
        <v>80400000</v>
      </c>
      <c r="G20" s="322">
        <v>1688000</v>
      </c>
      <c r="H20" s="322">
        <v>50000000</v>
      </c>
      <c r="I20" s="323">
        <f t="shared" ref="I20" si="5">F20-H20</f>
        <v>30400000</v>
      </c>
    </row>
    <row r="21" spans="1:9" s="6" customFormat="1" ht="27" customHeight="1" thickBot="1" x14ac:dyDescent="0.3">
      <c r="A21" s="325"/>
      <c r="B21" s="86"/>
      <c r="C21" s="326"/>
      <c r="D21" s="299"/>
      <c r="E21" s="335" t="s">
        <v>468</v>
      </c>
      <c r="F21" s="327">
        <f t="shared" ref="F21:H21" si="6">SUM(F20)</f>
        <v>80400000</v>
      </c>
      <c r="G21" s="327">
        <f t="shared" si="6"/>
        <v>1688000</v>
      </c>
      <c r="H21" s="327">
        <f t="shared" si="6"/>
        <v>50000000</v>
      </c>
      <c r="I21" s="328">
        <f>SUM(I20)</f>
        <v>30400000</v>
      </c>
    </row>
    <row r="22" spans="1:9" s="6" customFormat="1" ht="6.75" customHeight="1" x14ac:dyDescent="0.25">
      <c r="A22" s="272"/>
      <c r="B22" s="144"/>
      <c r="C22" s="272"/>
      <c r="D22" s="277"/>
      <c r="E22" s="144"/>
      <c r="F22" s="324"/>
      <c r="G22" s="324"/>
      <c r="H22" s="324"/>
      <c r="I22" s="324"/>
    </row>
    <row r="23" spans="1:9" s="6" customFormat="1" ht="61.5" customHeight="1" thickBot="1" x14ac:dyDescent="0.3">
      <c r="A23" s="204">
        <v>5</v>
      </c>
      <c r="B23" s="278" t="s">
        <v>83</v>
      </c>
      <c r="C23" s="204"/>
      <c r="D23" s="320">
        <v>22100495</v>
      </c>
      <c r="E23" s="332" t="s">
        <v>470</v>
      </c>
      <c r="F23" s="322">
        <v>39500000</v>
      </c>
      <c r="G23" s="322">
        <v>0</v>
      </c>
      <c r="H23" s="322">
        <v>20000000</v>
      </c>
      <c r="I23" s="323">
        <f t="shared" ref="I23" si="7">F23-H23</f>
        <v>19500000</v>
      </c>
    </row>
    <row r="24" spans="1:9" s="6" customFormat="1" ht="35.25" customHeight="1" thickBot="1" x14ac:dyDescent="0.3">
      <c r="A24" s="325"/>
      <c r="B24" s="86"/>
      <c r="C24" s="326"/>
      <c r="D24" s="299"/>
      <c r="E24" s="337" t="s">
        <v>469</v>
      </c>
      <c r="F24" s="327">
        <f t="shared" ref="F24" si="8">SUM(F23)</f>
        <v>39500000</v>
      </c>
      <c r="G24" s="327">
        <f t="shared" ref="G24" si="9">SUM(G23)</f>
        <v>0</v>
      </c>
      <c r="H24" s="327">
        <f t="shared" ref="H24" si="10">SUM(H23)</f>
        <v>20000000</v>
      </c>
      <c r="I24" s="328">
        <f t="shared" ref="I24" si="11">SUM(I23)</f>
        <v>19500000</v>
      </c>
    </row>
    <row r="25" spans="1:9" s="6" customFormat="1" ht="6.75" customHeight="1" x14ac:dyDescent="0.25">
      <c r="A25" s="272"/>
      <c r="B25" s="144"/>
      <c r="C25" s="272"/>
      <c r="D25" s="277"/>
      <c r="E25" s="336"/>
      <c r="F25" s="324"/>
      <c r="G25" s="324"/>
      <c r="H25" s="324"/>
      <c r="I25" s="324"/>
    </row>
    <row r="26" spans="1:9" s="6" customFormat="1" ht="17.25" customHeight="1" thickBot="1" x14ac:dyDescent="0.3">
      <c r="A26" s="204">
        <v>6</v>
      </c>
      <c r="B26" s="276" t="s">
        <v>115</v>
      </c>
      <c r="C26" s="204"/>
      <c r="D26" s="320">
        <v>22100354</v>
      </c>
      <c r="E26" s="321" t="s">
        <v>574</v>
      </c>
      <c r="F26" s="322">
        <v>100000000</v>
      </c>
      <c r="G26" s="322">
        <v>0</v>
      </c>
      <c r="H26" s="322">
        <v>60000000</v>
      </c>
      <c r="I26" s="323">
        <f t="shared" ref="I26" si="12">F26-H26</f>
        <v>40000000</v>
      </c>
    </row>
    <row r="27" spans="1:9" s="6" customFormat="1" ht="25.5" customHeight="1" x14ac:dyDescent="0.25">
      <c r="A27" s="368"/>
      <c r="B27" s="364"/>
      <c r="C27" s="369"/>
      <c r="D27" s="370"/>
      <c r="E27" s="400" t="s">
        <v>1161</v>
      </c>
      <c r="F27" s="371">
        <f t="shared" ref="F27:H27" si="13">SUM(F26)</f>
        <v>100000000</v>
      </c>
      <c r="G27" s="371">
        <f t="shared" si="13"/>
        <v>0</v>
      </c>
      <c r="H27" s="371">
        <f t="shared" si="13"/>
        <v>60000000</v>
      </c>
      <c r="I27" s="372">
        <f>SUM(I26)</f>
        <v>40000000</v>
      </c>
    </row>
    <row r="28" spans="1:9" s="6" customFormat="1" ht="6" customHeight="1" x14ac:dyDescent="0.25">
      <c r="A28" s="203"/>
      <c r="B28" s="87"/>
      <c r="C28" s="203"/>
      <c r="D28" s="197"/>
      <c r="E28" s="376"/>
      <c r="F28" s="210"/>
      <c r="G28" s="210"/>
      <c r="H28" s="210"/>
      <c r="I28" s="210"/>
    </row>
    <row r="29" spans="1:9" s="6" customFormat="1" ht="24.75" customHeight="1" x14ac:dyDescent="0.25">
      <c r="A29" s="203">
        <v>7</v>
      </c>
      <c r="B29" s="87" t="s">
        <v>141</v>
      </c>
      <c r="C29" s="203"/>
      <c r="D29" s="120">
        <v>21010103</v>
      </c>
      <c r="E29" s="121" t="s">
        <v>233</v>
      </c>
      <c r="F29" s="366">
        <v>1000000000</v>
      </c>
      <c r="G29" s="210">
        <v>0</v>
      </c>
      <c r="H29" s="266">
        <v>1000000000</v>
      </c>
      <c r="I29" s="323">
        <f t="shared" ref="I29:I31" si="14">F29-H29</f>
        <v>0</v>
      </c>
    </row>
    <row r="30" spans="1:9" s="6" customFormat="1" ht="24.75" customHeight="1" x14ac:dyDescent="0.25">
      <c r="A30" s="203"/>
      <c r="B30" s="87"/>
      <c r="C30" s="203"/>
      <c r="D30" s="120">
        <v>21020202</v>
      </c>
      <c r="E30" s="121" t="s">
        <v>234</v>
      </c>
      <c r="F30" s="366">
        <v>3428272800</v>
      </c>
      <c r="G30" s="210">
        <v>0</v>
      </c>
      <c r="H30" s="266">
        <v>3100000000</v>
      </c>
      <c r="I30" s="209">
        <f t="shared" si="14"/>
        <v>328272800</v>
      </c>
    </row>
    <row r="31" spans="1:9" s="6" customFormat="1" ht="14.25" customHeight="1" thickBot="1" x14ac:dyDescent="0.3">
      <c r="A31" s="204"/>
      <c r="B31" s="135"/>
      <c r="C31" s="204"/>
      <c r="D31" s="377">
        <v>21030101</v>
      </c>
      <c r="E31" s="378" t="s">
        <v>210</v>
      </c>
      <c r="F31" s="379">
        <v>2800000000</v>
      </c>
      <c r="G31" s="334"/>
      <c r="H31" s="380">
        <v>1000000000</v>
      </c>
      <c r="I31" s="542">
        <f t="shared" si="14"/>
        <v>1800000000</v>
      </c>
    </row>
    <row r="32" spans="1:9" s="6" customFormat="1" ht="25.5" customHeight="1" thickBot="1" x14ac:dyDescent="0.3">
      <c r="A32" s="325"/>
      <c r="B32" s="86"/>
      <c r="C32" s="326"/>
      <c r="D32" s="299"/>
      <c r="E32" s="337" t="s">
        <v>709</v>
      </c>
      <c r="F32" s="543">
        <f t="shared" ref="F32:H32" si="15">SUM(F29:F31)</f>
        <v>7228272800</v>
      </c>
      <c r="G32" s="543">
        <f t="shared" si="15"/>
        <v>0</v>
      </c>
      <c r="H32" s="543">
        <f t="shared" si="15"/>
        <v>5100000000</v>
      </c>
      <c r="I32" s="543">
        <f>SUM(I29:I31)</f>
        <v>2128272800</v>
      </c>
    </row>
    <row r="33" spans="1:9" s="6" customFormat="1" ht="6" customHeight="1" x14ac:dyDescent="0.25">
      <c r="A33" s="272"/>
      <c r="B33" s="144"/>
      <c r="C33" s="272"/>
      <c r="D33" s="277"/>
      <c r="E33" s="381"/>
      <c r="F33" s="382"/>
      <c r="G33" s="382"/>
      <c r="H33" s="382"/>
      <c r="I33" s="324"/>
    </row>
    <row r="34" spans="1:9" s="6" customFormat="1" ht="24" customHeight="1" x14ac:dyDescent="0.25">
      <c r="A34" s="203">
        <v>8</v>
      </c>
      <c r="B34" s="278" t="s">
        <v>39</v>
      </c>
      <c r="C34" s="203"/>
      <c r="D34" s="243">
        <v>22100201</v>
      </c>
      <c r="E34" s="244" t="s">
        <v>610</v>
      </c>
      <c r="F34" s="208">
        <v>450000000</v>
      </c>
      <c r="G34" s="208">
        <v>99980000</v>
      </c>
      <c r="H34" s="155">
        <v>150000000</v>
      </c>
      <c r="I34" s="323">
        <f t="shared" ref="I34:I35" si="16">F34-H34</f>
        <v>300000000</v>
      </c>
    </row>
    <row r="35" spans="1:9" s="6" customFormat="1" ht="23.25" customHeight="1" thickBot="1" x14ac:dyDescent="0.3">
      <c r="A35" s="204"/>
      <c r="B35" s="135"/>
      <c r="C35" s="204"/>
      <c r="D35" s="383">
        <v>22100209</v>
      </c>
      <c r="E35" s="332" t="s">
        <v>611</v>
      </c>
      <c r="F35" s="322">
        <v>500000000</v>
      </c>
      <c r="G35" s="322">
        <v>69760000</v>
      </c>
      <c r="H35" s="226">
        <v>300000000</v>
      </c>
      <c r="I35" s="323">
        <f t="shared" si="16"/>
        <v>200000000</v>
      </c>
    </row>
    <row r="36" spans="1:9" s="6" customFormat="1" ht="36" customHeight="1" thickBot="1" x14ac:dyDescent="0.3">
      <c r="A36" s="384"/>
      <c r="B36" s="86"/>
      <c r="C36" s="385"/>
      <c r="D36" s="386"/>
      <c r="E36" s="337" t="s">
        <v>710</v>
      </c>
      <c r="F36" s="327">
        <f t="shared" ref="F36:H36" si="17">SUM(F34:F35)</f>
        <v>950000000</v>
      </c>
      <c r="G36" s="327">
        <f t="shared" si="17"/>
        <v>169740000</v>
      </c>
      <c r="H36" s="327">
        <f t="shared" si="17"/>
        <v>450000000</v>
      </c>
      <c r="I36" s="328">
        <f>SUM(I34:I35)</f>
        <v>500000000</v>
      </c>
    </row>
    <row r="37" spans="1:9" s="6" customFormat="1" ht="6.75" customHeight="1" x14ac:dyDescent="0.25">
      <c r="A37" s="272"/>
      <c r="B37" s="144"/>
      <c r="C37" s="272"/>
      <c r="D37" s="277"/>
      <c r="E37" s="381"/>
      <c r="F37" s="382"/>
      <c r="G37" s="382"/>
      <c r="H37" s="382"/>
      <c r="I37" s="324"/>
    </row>
    <row r="38" spans="1:9" s="6" customFormat="1" ht="24" customHeight="1" x14ac:dyDescent="0.25">
      <c r="A38" s="203">
        <v>9</v>
      </c>
      <c r="B38" s="278" t="s">
        <v>73</v>
      </c>
      <c r="C38" s="203"/>
      <c r="D38" s="243">
        <v>22100461</v>
      </c>
      <c r="E38" s="244" t="s">
        <v>612</v>
      </c>
      <c r="F38" s="208">
        <v>150000000</v>
      </c>
      <c r="G38" s="208">
        <v>0</v>
      </c>
      <c r="H38" s="208">
        <v>150000000</v>
      </c>
      <c r="I38" s="323">
        <f t="shared" ref="I38:I40" si="18">F38-H38</f>
        <v>0</v>
      </c>
    </row>
    <row r="39" spans="1:9" s="6" customFormat="1" ht="24.75" customHeight="1" x14ac:dyDescent="0.25">
      <c r="A39" s="203"/>
      <c r="B39" s="87"/>
      <c r="C39" s="203"/>
      <c r="D39" s="243">
        <v>22100650</v>
      </c>
      <c r="E39" s="244" t="s">
        <v>613</v>
      </c>
      <c r="F39" s="208">
        <v>109536296</v>
      </c>
      <c r="G39" s="208">
        <v>4278600</v>
      </c>
      <c r="H39" s="208">
        <v>50000000</v>
      </c>
      <c r="I39" s="209">
        <f t="shared" si="18"/>
        <v>59536296</v>
      </c>
    </row>
    <row r="40" spans="1:9" s="6" customFormat="1" ht="24.75" customHeight="1" thickBot="1" x14ac:dyDescent="0.3">
      <c r="A40" s="204"/>
      <c r="B40" s="135"/>
      <c r="C40" s="204"/>
      <c r="D40" s="611">
        <v>22100450</v>
      </c>
      <c r="E40" s="612" t="s">
        <v>1099</v>
      </c>
      <c r="F40" s="322">
        <v>116000000</v>
      </c>
      <c r="G40" s="322">
        <v>0</v>
      </c>
      <c r="H40" s="322">
        <v>50000000</v>
      </c>
      <c r="I40" s="209">
        <f t="shared" si="18"/>
        <v>66000000</v>
      </c>
    </row>
    <row r="41" spans="1:9" s="6" customFormat="1" ht="34.5" customHeight="1" thickBot="1" x14ac:dyDescent="0.3">
      <c r="A41" s="325"/>
      <c r="B41" s="86"/>
      <c r="C41" s="326"/>
      <c r="D41" s="299"/>
      <c r="E41" s="337" t="s">
        <v>711</v>
      </c>
      <c r="F41" s="328">
        <f>SUM(F38:F40)</f>
        <v>375536296</v>
      </c>
      <c r="G41" s="328">
        <f>SUM(G38:G40)</f>
        <v>4278600</v>
      </c>
      <c r="H41" s="328">
        <f>SUM(H38:H40)</f>
        <v>250000000</v>
      </c>
      <c r="I41" s="328">
        <f>SUM(I38:I40)</f>
        <v>125536296</v>
      </c>
    </row>
    <row r="42" spans="1:9" s="6" customFormat="1" ht="6" customHeight="1" x14ac:dyDescent="0.25">
      <c r="A42" s="272"/>
      <c r="B42" s="144"/>
      <c r="C42" s="272"/>
      <c r="D42" s="277"/>
      <c r="E42" s="381"/>
      <c r="F42" s="324"/>
      <c r="G42" s="324"/>
      <c r="H42" s="324"/>
      <c r="I42" s="324"/>
    </row>
    <row r="43" spans="1:9" s="6" customFormat="1" ht="36" customHeight="1" x14ac:dyDescent="0.25">
      <c r="A43" s="203">
        <v>10</v>
      </c>
      <c r="B43" s="617" t="s">
        <v>256</v>
      </c>
      <c r="C43" s="203"/>
      <c r="D43" s="398">
        <v>22100528</v>
      </c>
      <c r="E43" s="399" t="s">
        <v>695</v>
      </c>
      <c r="F43" s="208">
        <v>40000000</v>
      </c>
      <c r="G43" s="210">
        <v>0</v>
      </c>
      <c r="H43" s="208">
        <v>8938500</v>
      </c>
      <c r="I43" s="209">
        <f t="shared" ref="I43:I44" si="19">F43-H43</f>
        <v>31061500</v>
      </c>
    </row>
    <row r="44" spans="1:9" s="6" customFormat="1" ht="18" customHeight="1" x14ac:dyDescent="0.25">
      <c r="A44" s="203"/>
      <c r="B44" s="87"/>
      <c r="C44" s="203"/>
      <c r="D44" s="243">
        <v>22100524</v>
      </c>
      <c r="E44" s="244" t="s">
        <v>691</v>
      </c>
      <c r="F44" s="208">
        <v>70000000</v>
      </c>
      <c r="G44" s="210">
        <v>0</v>
      </c>
      <c r="H44" s="208">
        <v>1061500</v>
      </c>
      <c r="I44" s="209">
        <f t="shared" si="19"/>
        <v>68938500</v>
      </c>
    </row>
    <row r="45" spans="1:9" s="6" customFormat="1" ht="34.5" customHeight="1" thickBot="1" x14ac:dyDescent="0.3">
      <c r="A45" s="524"/>
      <c r="B45" s="404"/>
      <c r="C45" s="525"/>
      <c r="D45" s="526"/>
      <c r="E45" s="527" t="s">
        <v>482</v>
      </c>
      <c r="F45" s="528">
        <f>SUM(F43:F44)</f>
        <v>110000000</v>
      </c>
      <c r="G45" s="528">
        <f>SUM(G43:G44)</f>
        <v>0</v>
      </c>
      <c r="H45" s="528">
        <f>SUM(H43:H44)</f>
        <v>10000000</v>
      </c>
      <c r="I45" s="529">
        <f>SUM(I43:I44)</f>
        <v>100000000</v>
      </c>
    </row>
    <row r="46" spans="1:9" ht="17.25" customHeight="1" thickBot="1" x14ac:dyDescent="0.3">
      <c r="A46" s="373"/>
      <c r="B46" s="374"/>
      <c r="C46" s="374"/>
      <c r="D46" s="374"/>
      <c r="E46" s="375" t="s">
        <v>26</v>
      </c>
      <c r="F46" s="329">
        <f t="shared" ref="F46:I46" si="20">F24+F21+F18+F15+F11+F27+F32+F36+F41+F45</f>
        <v>9118709096</v>
      </c>
      <c r="G46" s="363">
        <f t="shared" si="20"/>
        <v>176606600</v>
      </c>
      <c r="H46" s="329">
        <f>H24+H21+H18+H15+H11+H27+H32+H36+H41+H45</f>
        <v>6115000000</v>
      </c>
      <c r="I46" s="329">
        <f t="shared" si="20"/>
        <v>3003709096</v>
      </c>
    </row>
    <row r="48" spans="1:9" x14ac:dyDescent="0.25">
      <c r="H48" s="598"/>
    </row>
  </sheetData>
  <mergeCells count="4">
    <mergeCell ref="A1:I1"/>
    <mergeCell ref="A2:I2"/>
    <mergeCell ref="A3:I3"/>
    <mergeCell ref="A5:I5"/>
  </mergeCells>
  <pageMargins left="0.7" right="0.13" top="0.75" bottom="0.75" header="0.3" footer="0.3"/>
  <pageSetup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F8" sqref="F8"/>
    </sheetView>
  </sheetViews>
  <sheetFormatPr defaultRowHeight="15" x14ac:dyDescent="0.25"/>
  <cols>
    <col min="1" max="2" width="11.5703125" customWidth="1"/>
    <col min="3" max="3" width="32.85546875" customWidth="1"/>
    <col min="4" max="4" width="14.140625" customWidth="1"/>
    <col min="5" max="5" width="13" customWidth="1"/>
    <col min="6" max="6" width="14.140625" customWidth="1"/>
    <col min="7" max="7" width="14" customWidth="1"/>
    <col min="8" max="8" width="9.85546875" customWidth="1"/>
  </cols>
  <sheetData>
    <row r="1" spans="1:8" x14ac:dyDescent="0.25">
      <c r="A1" s="625" t="s">
        <v>7</v>
      </c>
      <c r="B1" s="625"/>
      <c r="C1" s="625"/>
      <c r="D1" s="625"/>
      <c r="E1" s="625"/>
      <c r="F1" s="625"/>
      <c r="G1" s="625"/>
      <c r="H1" s="625"/>
    </row>
    <row r="2" spans="1:8" x14ac:dyDescent="0.25">
      <c r="A2" s="623" t="s">
        <v>1174</v>
      </c>
      <c r="B2" s="623"/>
      <c r="C2" s="623"/>
      <c r="D2" s="623"/>
      <c r="E2" s="623"/>
      <c r="F2" s="623"/>
      <c r="G2" s="623"/>
      <c r="H2" s="623"/>
    </row>
    <row r="3" spans="1:8" x14ac:dyDescent="0.25">
      <c r="A3" s="625" t="s">
        <v>226</v>
      </c>
      <c r="B3" s="625"/>
      <c r="C3" s="625"/>
      <c r="D3" s="625"/>
      <c r="E3" s="625"/>
      <c r="F3" s="625"/>
      <c r="G3" s="625"/>
      <c r="H3" s="625"/>
    </row>
    <row r="4" spans="1:8" x14ac:dyDescent="0.25">
      <c r="A4" s="28"/>
      <c r="B4" s="28"/>
      <c r="C4" s="627"/>
      <c r="D4" s="627"/>
      <c r="E4" s="627"/>
      <c r="F4" s="627"/>
      <c r="G4" s="29"/>
    </row>
    <row r="5" spans="1:8" s="30" customFormat="1" ht="39" customHeight="1" x14ac:dyDescent="0.2">
      <c r="A5" s="74" t="s">
        <v>16</v>
      </c>
      <c r="B5" s="74" t="s">
        <v>17</v>
      </c>
      <c r="C5" s="74" t="s">
        <v>18</v>
      </c>
      <c r="D5" s="74" t="s">
        <v>459</v>
      </c>
      <c r="E5" s="74" t="s">
        <v>237</v>
      </c>
      <c r="F5" s="74" t="s">
        <v>236</v>
      </c>
      <c r="G5" s="74" t="s">
        <v>1173</v>
      </c>
      <c r="H5" s="74" t="s">
        <v>207</v>
      </c>
    </row>
    <row r="6" spans="1:8" s="32" customFormat="1" ht="15.75" customHeight="1" x14ac:dyDescent="0.25">
      <c r="A6" s="93">
        <v>1</v>
      </c>
      <c r="B6" s="93">
        <v>2</v>
      </c>
      <c r="C6" s="152">
        <v>3</v>
      </c>
      <c r="D6" s="169" t="s">
        <v>20</v>
      </c>
      <c r="E6" s="169" t="s">
        <v>158</v>
      </c>
      <c r="F6" s="170" t="s">
        <v>21</v>
      </c>
      <c r="G6" s="171" t="s">
        <v>22</v>
      </c>
      <c r="H6" s="31"/>
    </row>
    <row r="7" spans="1:8" s="32" customFormat="1" ht="26.25" customHeight="1" thickBot="1" x14ac:dyDescent="0.3">
      <c r="A7" s="222">
        <v>22200100100</v>
      </c>
      <c r="B7" s="130"/>
      <c r="C7" s="361" t="s">
        <v>596</v>
      </c>
      <c r="D7" s="153">
        <v>79164515.810000002</v>
      </c>
      <c r="E7" s="213">
        <v>0</v>
      </c>
      <c r="F7" s="214">
        <v>117548540</v>
      </c>
      <c r="G7" s="219">
        <f>D7+F7</f>
        <v>196713055.81</v>
      </c>
      <c r="H7" s="71" t="s">
        <v>208</v>
      </c>
    </row>
    <row r="8" spans="1:8" s="32" customFormat="1" ht="18" customHeight="1" thickBot="1" x14ac:dyDescent="0.3">
      <c r="A8" s="173"/>
      <c r="B8" s="174"/>
      <c r="C8" s="233" t="s">
        <v>26</v>
      </c>
      <c r="D8" s="224">
        <f>SUM(D7:D7)</f>
        <v>79164515.810000002</v>
      </c>
      <c r="E8" s="224">
        <f>SUM(E7:E7)</f>
        <v>0</v>
      </c>
      <c r="F8" s="224">
        <f>SUM(F7:F7)</f>
        <v>117548540</v>
      </c>
      <c r="G8" s="224">
        <f>SUM(G7:G7)</f>
        <v>196713055.81</v>
      </c>
      <c r="H8" s="175"/>
    </row>
    <row r="13" spans="1:8" x14ac:dyDescent="0.25">
      <c r="D13" s="176"/>
      <c r="F13" s="176"/>
      <c r="G13" s="176"/>
    </row>
    <row r="17" spans="3:4" x14ac:dyDescent="0.25">
      <c r="C17" s="3"/>
    </row>
    <row r="19" spans="3:4" x14ac:dyDescent="0.25">
      <c r="C19" s="3"/>
    </row>
    <row r="31" spans="3:4" x14ac:dyDescent="0.25">
      <c r="D31" s="68">
        <v>8</v>
      </c>
    </row>
  </sheetData>
  <mergeCells count="4">
    <mergeCell ref="C4:F4"/>
    <mergeCell ref="A1:H1"/>
    <mergeCell ref="A2:H2"/>
    <mergeCell ref="A3:H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3"/>
  <sheetViews>
    <sheetView topLeftCell="A673" workbookViewId="0">
      <selection activeCell="H682" sqref="H682"/>
    </sheetView>
  </sheetViews>
  <sheetFormatPr defaultRowHeight="15" x14ac:dyDescent="0.25"/>
  <cols>
    <col min="1" max="1" width="4.42578125" customWidth="1"/>
    <col min="2" max="2" width="10.42578125" style="32" bestFit="1" customWidth="1"/>
    <col min="3" max="3" width="36.5703125" style="41" customWidth="1"/>
    <col min="4" max="4" width="14.7109375" customWidth="1"/>
    <col min="5" max="5" width="14.140625" customWidth="1"/>
    <col min="6" max="7" width="12.85546875" customWidth="1"/>
    <col min="8" max="8" width="15.140625" bestFit="1" customWidth="1"/>
    <col min="9" max="9" width="8.85546875" customWidth="1"/>
    <col min="10" max="10" width="16.85546875" bestFit="1" customWidth="1"/>
    <col min="13" max="13" width="18" bestFit="1" customWidth="1"/>
  </cols>
  <sheetData>
    <row r="1" spans="1:13" x14ac:dyDescent="0.25">
      <c r="A1" s="628" t="s">
        <v>276</v>
      </c>
      <c r="B1" s="628"/>
      <c r="C1" s="628"/>
      <c r="D1" s="628"/>
      <c r="E1" s="628"/>
      <c r="F1" s="628"/>
      <c r="G1" s="628"/>
      <c r="H1" s="628"/>
      <c r="I1" s="628"/>
    </row>
    <row r="2" spans="1:13" x14ac:dyDescent="0.25">
      <c r="A2" s="628" t="s">
        <v>1176</v>
      </c>
      <c r="B2" s="628"/>
      <c r="C2" s="628"/>
      <c r="D2" s="628"/>
      <c r="E2" s="628"/>
      <c r="F2" s="628"/>
      <c r="G2" s="628"/>
      <c r="H2" s="628"/>
      <c r="I2" s="628"/>
    </row>
    <row r="3" spans="1:13" x14ac:dyDescent="0.25">
      <c r="A3" s="628" t="s">
        <v>151</v>
      </c>
      <c r="B3" s="628"/>
      <c r="C3" s="628"/>
      <c r="D3" s="628"/>
      <c r="E3" s="628"/>
      <c r="F3" s="628"/>
      <c r="G3" s="628"/>
      <c r="H3" s="628"/>
      <c r="I3" s="628"/>
    </row>
    <row r="4" spans="1:13" x14ac:dyDescent="0.25">
      <c r="A4" s="177"/>
      <c r="B4" s="177"/>
      <c r="C4" s="177"/>
      <c r="D4" s="177"/>
      <c r="E4" s="177"/>
      <c r="F4" s="231"/>
      <c r="G4" s="177"/>
      <c r="H4" s="177"/>
    </row>
    <row r="5" spans="1:13" x14ac:dyDescent="0.25">
      <c r="A5" s="62" t="s">
        <v>426</v>
      </c>
      <c r="B5" s="62"/>
      <c r="C5" s="62"/>
      <c r="D5" s="62"/>
      <c r="E5" s="62"/>
      <c r="F5" s="62"/>
      <c r="G5" s="62"/>
      <c r="H5" s="63"/>
    </row>
    <row r="6" spans="1:13" x14ac:dyDescent="0.25">
      <c r="A6" s="63"/>
      <c r="B6" s="235"/>
      <c r="C6" s="63"/>
      <c r="D6" s="63"/>
      <c r="E6" s="63"/>
      <c r="F6" s="63"/>
      <c r="G6" s="63"/>
      <c r="H6" s="63"/>
    </row>
    <row r="7" spans="1:13" x14ac:dyDescent="0.25">
      <c r="A7" s="64" t="s">
        <v>425</v>
      </c>
      <c r="B7" s="64"/>
      <c r="C7" s="64"/>
      <c r="D7" s="63"/>
      <c r="E7" s="63"/>
      <c r="F7" s="63"/>
      <c r="G7" s="63"/>
      <c r="H7" s="63"/>
    </row>
    <row r="8" spans="1:13" ht="36.75" x14ac:dyDescent="0.25">
      <c r="A8" s="46" t="s">
        <v>0</v>
      </c>
      <c r="B8" s="65" t="s">
        <v>35</v>
      </c>
      <c r="C8" s="65" t="s">
        <v>36</v>
      </c>
      <c r="D8" s="65" t="s">
        <v>279</v>
      </c>
      <c r="E8" s="65" t="s">
        <v>222</v>
      </c>
      <c r="F8" s="65" t="s">
        <v>273</v>
      </c>
      <c r="G8" s="66" t="s">
        <v>37</v>
      </c>
      <c r="H8" s="66" t="s">
        <v>1175</v>
      </c>
      <c r="I8" s="66" t="s">
        <v>209</v>
      </c>
      <c r="M8" s="4"/>
    </row>
    <row r="9" spans="1:13" x14ac:dyDescent="0.25">
      <c r="A9" s="56">
        <v>1</v>
      </c>
      <c r="B9" s="273">
        <v>22020102</v>
      </c>
      <c r="C9" s="57" t="s">
        <v>170</v>
      </c>
      <c r="D9" s="58">
        <v>9500000</v>
      </c>
      <c r="E9" s="155">
        <v>0</v>
      </c>
      <c r="F9" s="155">
        <v>0</v>
      </c>
      <c r="G9" s="247">
        <v>9000000</v>
      </c>
      <c r="H9" s="50">
        <f t="shared" ref="H9:H22" si="0">D9+G9</f>
        <v>18500000</v>
      </c>
      <c r="I9" s="56" t="s">
        <v>208</v>
      </c>
    </row>
    <row r="10" spans="1:13" x14ac:dyDescent="0.25">
      <c r="A10" s="56">
        <v>2</v>
      </c>
      <c r="B10" s="273">
        <v>22020202</v>
      </c>
      <c r="C10" s="57" t="s">
        <v>171</v>
      </c>
      <c r="D10" s="58">
        <v>5000000</v>
      </c>
      <c r="E10" s="155">
        <v>0</v>
      </c>
      <c r="F10" s="155">
        <v>0</v>
      </c>
      <c r="G10" s="247">
        <v>5000000</v>
      </c>
      <c r="H10" s="50">
        <f t="shared" si="0"/>
        <v>10000000</v>
      </c>
      <c r="I10" s="56" t="s">
        <v>208</v>
      </c>
    </row>
    <row r="11" spans="1:13" ht="23.25" customHeight="1" x14ac:dyDescent="0.25">
      <c r="A11" s="56">
        <v>3</v>
      </c>
      <c r="B11" s="273">
        <v>22020203</v>
      </c>
      <c r="C11" s="57" t="s">
        <v>427</v>
      </c>
      <c r="D11" s="58">
        <v>1000000</v>
      </c>
      <c r="E11" s="155">
        <v>0</v>
      </c>
      <c r="F11" s="155">
        <v>0</v>
      </c>
      <c r="G11" s="248">
        <v>500000</v>
      </c>
      <c r="H11" s="50">
        <f t="shared" si="0"/>
        <v>1500000</v>
      </c>
      <c r="I11" s="56" t="s">
        <v>208</v>
      </c>
    </row>
    <row r="12" spans="1:13" ht="23.25" x14ac:dyDescent="0.25">
      <c r="A12" s="56">
        <v>4</v>
      </c>
      <c r="B12" s="273">
        <v>22020301</v>
      </c>
      <c r="C12" s="57" t="s">
        <v>172</v>
      </c>
      <c r="D12" s="58">
        <v>6000000</v>
      </c>
      <c r="E12" s="155">
        <v>0</v>
      </c>
      <c r="F12" s="155">
        <v>0</v>
      </c>
      <c r="G12" s="248">
        <v>6000000</v>
      </c>
      <c r="H12" s="50">
        <f t="shared" si="0"/>
        <v>12000000</v>
      </c>
      <c r="I12" s="56" t="s">
        <v>208</v>
      </c>
      <c r="M12" s="3"/>
    </row>
    <row r="13" spans="1:13" x14ac:dyDescent="0.25">
      <c r="A13" s="56">
        <v>5</v>
      </c>
      <c r="B13" s="273">
        <v>22020303</v>
      </c>
      <c r="C13" s="57" t="s">
        <v>428</v>
      </c>
      <c r="D13" s="58">
        <v>2000000</v>
      </c>
      <c r="E13" s="155">
        <v>0</v>
      </c>
      <c r="F13" s="155">
        <v>0</v>
      </c>
      <c r="G13" s="248">
        <v>2000000</v>
      </c>
      <c r="H13" s="50">
        <f t="shared" si="0"/>
        <v>4000000</v>
      </c>
      <c r="I13" s="56" t="s">
        <v>208</v>
      </c>
      <c r="M13" s="11"/>
    </row>
    <row r="14" spans="1:13" x14ac:dyDescent="0.25">
      <c r="A14" s="56">
        <v>6</v>
      </c>
      <c r="B14" s="273">
        <v>22020304</v>
      </c>
      <c r="C14" s="57" t="s">
        <v>429</v>
      </c>
      <c r="D14" s="58">
        <v>1500000</v>
      </c>
      <c r="E14" s="155">
        <v>0</v>
      </c>
      <c r="F14" s="155">
        <v>0</v>
      </c>
      <c r="G14" s="248">
        <v>1000000</v>
      </c>
      <c r="H14" s="50">
        <f t="shared" si="0"/>
        <v>2500000</v>
      </c>
      <c r="I14" s="56" t="s">
        <v>208</v>
      </c>
    </row>
    <row r="15" spans="1:13" x14ac:dyDescent="0.25">
      <c r="A15" s="56">
        <v>7</v>
      </c>
      <c r="B15" s="273">
        <v>22020305</v>
      </c>
      <c r="C15" s="57" t="s">
        <v>275</v>
      </c>
      <c r="D15" s="58">
        <v>3000000</v>
      </c>
      <c r="E15" s="155">
        <v>0</v>
      </c>
      <c r="F15" s="155">
        <v>0</v>
      </c>
      <c r="G15" s="35">
        <v>1500000</v>
      </c>
      <c r="H15" s="50">
        <f t="shared" si="0"/>
        <v>4500000</v>
      </c>
      <c r="I15" s="56" t="s">
        <v>208</v>
      </c>
      <c r="M15" s="4"/>
    </row>
    <row r="16" spans="1:13" ht="23.25" x14ac:dyDescent="0.25">
      <c r="A16" s="56">
        <v>8</v>
      </c>
      <c r="B16" s="273">
        <v>22020401</v>
      </c>
      <c r="C16" s="57" t="s">
        <v>173</v>
      </c>
      <c r="D16" s="58">
        <v>5000000</v>
      </c>
      <c r="E16" s="155">
        <v>0</v>
      </c>
      <c r="F16" s="155">
        <v>0</v>
      </c>
      <c r="G16" s="229">
        <v>1000000</v>
      </c>
      <c r="H16" s="60">
        <f t="shared" si="0"/>
        <v>6000000</v>
      </c>
      <c r="I16" s="56" t="s">
        <v>208</v>
      </c>
      <c r="M16" s="11"/>
    </row>
    <row r="17" spans="1:13" x14ac:dyDescent="0.25">
      <c r="A17" s="56">
        <v>9</v>
      </c>
      <c r="B17" s="273">
        <v>22020406</v>
      </c>
      <c r="C17" s="57" t="s">
        <v>430</v>
      </c>
      <c r="D17" s="58">
        <v>3000000</v>
      </c>
      <c r="E17" s="155">
        <v>0</v>
      </c>
      <c r="F17" s="155">
        <v>0</v>
      </c>
      <c r="G17" s="229">
        <v>500000</v>
      </c>
      <c r="H17" s="60">
        <f t="shared" si="0"/>
        <v>3500000</v>
      </c>
      <c r="I17" s="56" t="s">
        <v>208</v>
      </c>
      <c r="M17" s="11"/>
    </row>
    <row r="18" spans="1:13" ht="23.25" x14ac:dyDescent="0.25">
      <c r="A18" s="56">
        <v>10</v>
      </c>
      <c r="B18" s="273">
        <v>22020503</v>
      </c>
      <c r="C18" s="57" t="s">
        <v>431</v>
      </c>
      <c r="D18" s="58">
        <v>5000000</v>
      </c>
      <c r="E18" s="155">
        <v>0</v>
      </c>
      <c r="F18" s="155">
        <v>0</v>
      </c>
      <c r="G18" s="229">
        <v>1000000</v>
      </c>
      <c r="H18" s="60">
        <f t="shared" si="0"/>
        <v>6000000</v>
      </c>
      <c r="I18" s="56" t="s">
        <v>208</v>
      </c>
      <c r="M18" s="11"/>
    </row>
    <row r="19" spans="1:13" ht="23.25" x14ac:dyDescent="0.25">
      <c r="A19" s="56">
        <v>11</v>
      </c>
      <c r="B19" s="273">
        <v>22020505</v>
      </c>
      <c r="C19" s="57" t="s">
        <v>432</v>
      </c>
      <c r="D19" s="58">
        <v>5000000</v>
      </c>
      <c r="E19" s="155">
        <v>0</v>
      </c>
      <c r="F19" s="155">
        <v>0</v>
      </c>
      <c r="G19" s="229">
        <v>1000000</v>
      </c>
      <c r="H19" s="60">
        <f t="shared" si="0"/>
        <v>6000000</v>
      </c>
      <c r="I19" s="56" t="s">
        <v>208</v>
      </c>
      <c r="M19" s="3"/>
    </row>
    <row r="20" spans="1:13" x14ac:dyDescent="0.25">
      <c r="A20" s="56">
        <v>12</v>
      </c>
      <c r="B20" s="273">
        <v>22021001</v>
      </c>
      <c r="C20" s="57" t="s">
        <v>175</v>
      </c>
      <c r="D20" s="58">
        <v>3000000</v>
      </c>
      <c r="E20" s="155">
        <v>0</v>
      </c>
      <c r="F20" s="155">
        <v>0</v>
      </c>
      <c r="G20" s="229">
        <v>500000</v>
      </c>
      <c r="H20" s="60">
        <f t="shared" si="0"/>
        <v>3500000</v>
      </c>
      <c r="I20" s="56" t="s">
        <v>208</v>
      </c>
      <c r="M20" s="4"/>
    </row>
    <row r="21" spans="1:13" x14ac:dyDescent="0.25">
      <c r="A21" s="56">
        <v>13</v>
      </c>
      <c r="B21" s="273">
        <v>22021006</v>
      </c>
      <c r="C21" s="57" t="s">
        <v>433</v>
      </c>
      <c r="D21" s="58">
        <v>2500000</v>
      </c>
      <c r="E21" s="155">
        <v>0</v>
      </c>
      <c r="F21" s="155">
        <v>0</v>
      </c>
      <c r="G21" s="229">
        <v>500000</v>
      </c>
      <c r="H21" s="60">
        <f t="shared" si="0"/>
        <v>3000000</v>
      </c>
      <c r="I21" s="56" t="s">
        <v>208</v>
      </c>
    </row>
    <row r="22" spans="1:13" x14ac:dyDescent="0.25">
      <c r="A22" s="56">
        <v>14</v>
      </c>
      <c r="B22" s="273">
        <v>22021007</v>
      </c>
      <c r="C22" s="57" t="s">
        <v>224</v>
      </c>
      <c r="D22" s="58">
        <v>2500000</v>
      </c>
      <c r="E22" s="155">
        <v>0</v>
      </c>
      <c r="F22" s="155">
        <v>0</v>
      </c>
      <c r="G22" s="229">
        <v>500000</v>
      </c>
      <c r="H22" s="60">
        <f t="shared" si="0"/>
        <v>3000000</v>
      </c>
      <c r="I22" s="56" t="s">
        <v>208</v>
      </c>
    </row>
    <row r="23" spans="1:13" x14ac:dyDescent="0.25">
      <c r="A23" s="33"/>
      <c r="B23" s="31"/>
      <c r="C23" s="67" t="s">
        <v>38</v>
      </c>
      <c r="D23" s="73">
        <f>SUM(D9:D22)</f>
        <v>54000000</v>
      </c>
      <c r="E23" s="254">
        <v>43250000</v>
      </c>
      <c r="F23" s="254">
        <f t="shared" ref="F23" si="1">SUM(F9:F22)</f>
        <v>0</v>
      </c>
      <c r="G23" s="73">
        <f>SUM(G9:G22)</f>
        <v>30000000</v>
      </c>
      <c r="H23" s="73">
        <f>SUM(H9:H22)</f>
        <v>84000000</v>
      </c>
      <c r="I23" s="33"/>
      <c r="M23" s="3"/>
    </row>
    <row r="24" spans="1:13" x14ac:dyDescent="0.25">
      <c r="M24" s="3"/>
    </row>
    <row r="27" spans="1:13" x14ac:dyDescent="0.25">
      <c r="H27" s="597"/>
      <c r="M27" s="11"/>
    </row>
    <row r="28" spans="1:13" x14ac:dyDescent="0.25">
      <c r="J28" s="11"/>
    </row>
    <row r="32" spans="1:13" x14ac:dyDescent="0.25">
      <c r="A32" s="628" t="s">
        <v>276</v>
      </c>
      <c r="B32" s="628"/>
      <c r="C32" s="628"/>
      <c r="D32" s="628"/>
      <c r="E32" s="628"/>
      <c r="F32" s="628"/>
      <c r="G32" s="628"/>
      <c r="H32" s="628"/>
      <c r="I32" s="628"/>
    </row>
    <row r="33" spans="1:9" x14ac:dyDescent="0.25">
      <c r="A33" s="628" t="s">
        <v>1176</v>
      </c>
      <c r="B33" s="628"/>
      <c r="C33" s="628"/>
      <c r="D33" s="628"/>
      <c r="E33" s="628"/>
      <c r="F33" s="628"/>
      <c r="G33" s="628"/>
      <c r="H33" s="628"/>
      <c r="I33" s="628"/>
    </row>
    <row r="34" spans="1:9" x14ac:dyDescent="0.25">
      <c r="A34" s="628" t="s">
        <v>151</v>
      </c>
      <c r="B34" s="628"/>
      <c r="C34" s="628"/>
      <c r="D34" s="628"/>
      <c r="E34" s="628"/>
      <c r="F34" s="628"/>
      <c r="G34" s="628"/>
      <c r="H34" s="628"/>
      <c r="I34" s="628"/>
    </row>
    <row r="35" spans="1:9" x14ac:dyDescent="0.25">
      <c r="A35" s="331"/>
      <c r="B35" s="331"/>
      <c r="C35" s="331"/>
      <c r="D35" s="331"/>
      <c r="E35" s="331"/>
      <c r="F35" s="331"/>
      <c r="G35" s="331"/>
      <c r="H35" s="331"/>
    </row>
    <row r="36" spans="1:9" x14ac:dyDescent="0.25">
      <c r="A36" s="62" t="s">
        <v>600</v>
      </c>
      <c r="B36" s="62"/>
      <c r="C36" s="62"/>
      <c r="D36" s="62"/>
      <c r="E36" s="62"/>
      <c r="F36" s="62"/>
      <c r="G36" s="62"/>
      <c r="H36" s="63"/>
    </row>
    <row r="37" spans="1:9" x14ac:dyDescent="0.25">
      <c r="A37" s="63"/>
      <c r="B37" s="331"/>
      <c r="C37" s="63"/>
      <c r="D37" s="63"/>
      <c r="E37" s="63"/>
      <c r="F37" s="63"/>
      <c r="G37" s="63"/>
      <c r="H37" s="63"/>
    </row>
    <row r="38" spans="1:9" x14ac:dyDescent="0.25">
      <c r="A38" s="64" t="s">
        <v>601</v>
      </c>
      <c r="B38" s="64"/>
      <c r="C38" s="64"/>
      <c r="D38" s="63"/>
      <c r="E38" s="63"/>
      <c r="F38" s="63"/>
      <c r="G38" s="63"/>
      <c r="H38" s="63"/>
    </row>
    <row r="39" spans="1:9" ht="36.75" x14ac:dyDescent="0.25">
      <c r="A39" s="46" t="s">
        <v>0</v>
      </c>
      <c r="B39" s="65" t="s">
        <v>35</v>
      </c>
      <c r="C39" s="65" t="s">
        <v>36</v>
      </c>
      <c r="D39" s="65" t="s">
        <v>279</v>
      </c>
      <c r="E39" s="65" t="s">
        <v>222</v>
      </c>
      <c r="F39" s="65" t="s">
        <v>273</v>
      </c>
      <c r="G39" s="66" t="s">
        <v>37</v>
      </c>
      <c r="H39" s="66" t="s">
        <v>1175</v>
      </c>
      <c r="I39" s="66" t="s">
        <v>209</v>
      </c>
    </row>
    <row r="40" spans="1:9" x14ac:dyDescent="0.25">
      <c r="A40" s="56">
        <v>1</v>
      </c>
      <c r="B40" s="47">
        <v>22020102</v>
      </c>
      <c r="C40" s="275" t="s">
        <v>170</v>
      </c>
      <c r="D40" s="59">
        <v>1500000</v>
      </c>
      <c r="E40" s="155">
        <v>0</v>
      </c>
      <c r="F40" s="155">
        <v>0</v>
      </c>
      <c r="G40" s="51">
        <v>500000</v>
      </c>
      <c r="H40" s="50">
        <f t="shared" ref="H40:H46" si="2">D40+G40</f>
        <v>2000000</v>
      </c>
      <c r="I40" s="56" t="s">
        <v>208</v>
      </c>
    </row>
    <row r="41" spans="1:9" x14ac:dyDescent="0.25">
      <c r="A41" s="56">
        <v>2</v>
      </c>
      <c r="B41" s="47">
        <v>22020202</v>
      </c>
      <c r="C41" s="275" t="s">
        <v>171</v>
      </c>
      <c r="D41" s="59">
        <v>700000</v>
      </c>
      <c r="E41" s="155">
        <v>0</v>
      </c>
      <c r="F41" s="155">
        <v>0</v>
      </c>
      <c r="G41" s="51">
        <v>300000</v>
      </c>
      <c r="H41" s="50">
        <f t="shared" si="2"/>
        <v>1000000</v>
      </c>
      <c r="I41" s="56" t="s">
        <v>208</v>
      </c>
    </row>
    <row r="42" spans="1:9" ht="24.75" x14ac:dyDescent="0.25">
      <c r="A42" s="56">
        <v>3</v>
      </c>
      <c r="B42" s="47">
        <v>22020301</v>
      </c>
      <c r="C42" s="275" t="s">
        <v>172</v>
      </c>
      <c r="D42" s="59">
        <v>1500000</v>
      </c>
      <c r="E42" s="155">
        <v>0</v>
      </c>
      <c r="F42" s="155">
        <v>0</v>
      </c>
      <c r="G42" s="37">
        <v>500000</v>
      </c>
      <c r="H42" s="50">
        <f t="shared" si="2"/>
        <v>2000000</v>
      </c>
      <c r="I42" s="56" t="s">
        <v>208</v>
      </c>
    </row>
    <row r="43" spans="1:9" ht="24.75" x14ac:dyDescent="0.25">
      <c r="A43" s="56">
        <v>4</v>
      </c>
      <c r="B43" s="47">
        <v>22020401</v>
      </c>
      <c r="C43" s="275" t="s">
        <v>173</v>
      </c>
      <c r="D43" s="59">
        <v>1200000</v>
      </c>
      <c r="E43" s="155">
        <v>0</v>
      </c>
      <c r="F43" s="155">
        <v>0</v>
      </c>
      <c r="G43" s="37">
        <v>300000</v>
      </c>
      <c r="H43" s="50">
        <f t="shared" si="2"/>
        <v>1500000</v>
      </c>
      <c r="I43" s="56" t="s">
        <v>208</v>
      </c>
    </row>
    <row r="44" spans="1:9" x14ac:dyDescent="0.25">
      <c r="A44" s="56">
        <v>5</v>
      </c>
      <c r="B44" s="47">
        <v>22020402</v>
      </c>
      <c r="C44" s="275" t="s">
        <v>174</v>
      </c>
      <c r="D44" s="59">
        <v>900000</v>
      </c>
      <c r="E44" s="155">
        <v>0</v>
      </c>
      <c r="F44" s="155">
        <v>0</v>
      </c>
      <c r="G44" s="37">
        <v>200000</v>
      </c>
      <c r="H44" s="50">
        <f t="shared" si="2"/>
        <v>1100000</v>
      </c>
      <c r="I44" s="56" t="s">
        <v>208</v>
      </c>
    </row>
    <row r="45" spans="1:9" x14ac:dyDescent="0.25">
      <c r="A45" s="56">
        <v>6</v>
      </c>
      <c r="B45" s="47">
        <v>22020501</v>
      </c>
      <c r="C45" s="275" t="s">
        <v>223</v>
      </c>
      <c r="D45" s="59">
        <v>1200000</v>
      </c>
      <c r="E45" s="155">
        <v>0</v>
      </c>
      <c r="F45" s="155">
        <v>0</v>
      </c>
      <c r="G45" s="37">
        <v>400000</v>
      </c>
      <c r="H45" s="50">
        <f t="shared" si="2"/>
        <v>1600000</v>
      </c>
      <c r="I45" s="56" t="s">
        <v>208</v>
      </c>
    </row>
    <row r="46" spans="1:9" x14ac:dyDescent="0.25">
      <c r="A46" s="56">
        <v>7</v>
      </c>
      <c r="B46" s="47">
        <v>22021007</v>
      </c>
      <c r="C46" s="275" t="s">
        <v>224</v>
      </c>
      <c r="D46" s="59">
        <v>1000000</v>
      </c>
      <c r="E46" s="155">
        <v>0</v>
      </c>
      <c r="F46" s="155">
        <v>0</v>
      </c>
      <c r="G46" s="50">
        <v>300000</v>
      </c>
      <c r="H46" s="50">
        <f t="shared" si="2"/>
        <v>1300000</v>
      </c>
      <c r="I46" s="56" t="s">
        <v>208</v>
      </c>
    </row>
    <row r="47" spans="1:9" x14ac:dyDescent="0.25">
      <c r="A47" s="33"/>
      <c r="B47" s="31"/>
      <c r="C47" s="67" t="s">
        <v>38</v>
      </c>
      <c r="D47" s="73">
        <f>SUM(D40:D46)</f>
        <v>8000000</v>
      </c>
      <c r="E47" s="73"/>
      <c r="F47" s="155">
        <v>0</v>
      </c>
      <c r="G47" s="73">
        <f>SUM(G40:G46)</f>
        <v>2500000</v>
      </c>
      <c r="H47" s="73">
        <f>SUM(H40:H46)</f>
        <v>10500000</v>
      </c>
      <c r="I47" s="33"/>
    </row>
    <row r="63" spans="1:9" x14ac:dyDescent="0.25">
      <c r="A63" s="628" t="s">
        <v>276</v>
      </c>
      <c r="B63" s="628"/>
      <c r="C63" s="628"/>
      <c r="D63" s="628"/>
      <c r="E63" s="628"/>
      <c r="F63" s="628"/>
      <c r="G63" s="628"/>
      <c r="H63" s="628"/>
      <c r="I63" s="628"/>
    </row>
    <row r="64" spans="1:9" x14ac:dyDescent="0.25">
      <c r="A64" s="628" t="s">
        <v>1176</v>
      </c>
      <c r="B64" s="628"/>
      <c r="C64" s="628"/>
      <c r="D64" s="628"/>
      <c r="E64" s="628"/>
      <c r="F64" s="628"/>
      <c r="G64" s="628"/>
      <c r="H64" s="628"/>
      <c r="I64" s="628"/>
    </row>
    <row r="65" spans="1:9" x14ac:dyDescent="0.25">
      <c r="A65" s="628" t="s">
        <v>151</v>
      </c>
      <c r="B65" s="628"/>
      <c r="C65" s="628"/>
      <c r="D65" s="628"/>
      <c r="E65" s="628"/>
      <c r="F65" s="628"/>
      <c r="G65" s="628"/>
      <c r="H65" s="628"/>
      <c r="I65" s="628"/>
    </row>
    <row r="66" spans="1:9" x14ac:dyDescent="0.25">
      <c r="A66" s="240"/>
      <c r="B66" s="240"/>
      <c r="C66" s="240"/>
      <c r="D66" s="240"/>
      <c r="E66" s="240"/>
      <c r="F66" s="240"/>
      <c r="G66" s="240"/>
      <c r="H66" s="240"/>
    </row>
    <row r="67" spans="1:9" x14ac:dyDescent="0.25">
      <c r="A67" s="62" t="s">
        <v>598</v>
      </c>
      <c r="B67" s="62"/>
      <c r="C67" s="62"/>
      <c r="D67" s="62"/>
      <c r="E67" s="62"/>
      <c r="F67" s="62"/>
      <c r="G67" s="62"/>
      <c r="H67" s="63"/>
    </row>
    <row r="68" spans="1:9" x14ac:dyDescent="0.25">
      <c r="A68" s="63"/>
      <c r="B68" s="240"/>
      <c r="C68" s="63"/>
      <c r="D68" s="63"/>
      <c r="E68" s="63"/>
      <c r="F68" s="63"/>
      <c r="G68" s="63"/>
      <c r="H68" s="63"/>
    </row>
    <row r="69" spans="1:9" x14ac:dyDescent="0.25">
      <c r="A69" s="64" t="s">
        <v>599</v>
      </c>
      <c r="B69" s="64"/>
      <c r="C69" s="64"/>
      <c r="D69" s="63"/>
      <c r="E69" s="63"/>
      <c r="F69" s="63"/>
      <c r="G69" s="63"/>
      <c r="H69" s="63"/>
    </row>
    <row r="70" spans="1:9" ht="36.75" x14ac:dyDescent="0.25">
      <c r="A70" s="46" t="s">
        <v>0</v>
      </c>
      <c r="B70" s="65" t="s">
        <v>35</v>
      </c>
      <c r="C70" s="65" t="s">
        <v>36</v>
      </c>
      <c r="D70" s="65" t="s">
        <v>279</v>
      </c>
      <c r="E70" s="65" t="s">
        <v>222</v>
      </c>
      <c r="F70" s="65" t="s">
        <v>273</v>
      </c>
      <c r="G70" s="66" t="s">
        <v>37</v>
      </c>
      <c r="H70" s="66" t="s">
        <v>1175</v>
      </c>
      <c r="I70" s="66" t="s">
        <v>209</v>
      </c>
    </row>
    <row r="71" spans="1:9" x14ac:dyDescent="0.25">
      <c r="A71" s="56">
        <v>1</v>
      </c>
      <c r="B71" s="47">
        <v>22020102</v>
      </c>
      <c r="C71" s="57" t="s">
        <v>170</v>
      </c>
      <c r="D71" s="155">
        <v>0</v>
      </c>
      <c r="E71" s="155">
        <v>0</v>
      </c>
      <c r="F71" s="155">
        <v>0</v>
      </c>
      <c r="G71" s="51">
        <v>200000</v>
      </c>
      <c r="H71" s="50">
        <f t="shared" ref="H71:H79" si="3">D71+G71</f>
        <v>200000</v>
      </c>
      <c r="I71" s="56" t="s">
        <v>208</v>
      </c>
    </row>
    <row r="72" spans="1:9" x14ac:dyDescent="0.25">
      <c r="A72" s="56">
        <v>2</v>
      </c>
      <c r="B72" s="47">
        <v>22020202</v>
      </c>
      <c r="C72" s="57" t="s">
        <v>171</v>
      </c>
      <c r="D72" s="155">
        <v>0</v>
      </c>
      <c r="E72" s="155">
        <v>0</v>
      </c>
      <c r="F72" s="155">
        <v>0</v>
      </c>
      <c r="G72" s="51">
        <v>90000</v>
      </c>
      <c r="H72" s="50">
        <f t="shared" si="3"/>
        <v>90000</v>
      </c>
      <c r="I72" s="56" t="s">
        <v>208</v>
      </c>
    </row>
    <row r="73" spans="1:9" ht="23.25" x14ac:dyDescent="0.25">
      <c r="A73" s="56">
        <v>3</v>
      </c>
      <c r="B73" s="47">
        <v>22020301</v>
      </c>
      <c r="C73" s="57" t="s">
        <v>172</v>
      </c>
      <c r="D73" s="155">
        <v>0</v>
      </c>
      <c r="E73" s="155">
        <v>0</v>
      </c>
      <c r="F73" s="155">
        <v>0</v>
      </c>
      <c r="G73" s="37">
        <v>100000</v>
      </c>
      <c r="H73" s="50">
        <f t="shared" si="3"/>
        <v>100000</v>
      </c>
      <c r="I73" s="56" t="s">
        <v>208</v>
      </c>
    </row>
    <row r="74" spans="1:9" x14ac:dyDescent="0.25">
      <c r="A74" s="56">
        <v>4</v>
      </c>
      <c r="B74" s="47">
        <v>22020305</v>
      </c>
      <c r="C74" s="57" t="s">
        <v>275</v>
      </c>
      <c r="D74" s="155">
        <v>0</v>
      </c>
      <c r="E74" s="155">
        <v>0</v>
      </c>
      <c r="F74" s="155">
        <v>0</v>
      </c>
      <c r="G74" s="37">
        <v>50000</v>
      </c>
      <c r="H74" s="50">
        <f t="shared" si="3"/>
        <v>50000</v>
      </c>
      <c r="I74" s="56" t="s">
        <v>208</v>
      </c>
    </row>
    <row r="75" spans="1:9" ht="23.25" x14ac:dyDescent="0.25">
      <c r="A75" s="56">
        <v>5</v>
      </c>
      <c r="B75" s="47">
        <v>22020401</v>
      </c>
      <c r="C75" s="57" t="s">
        <v>173</v>
      </c>
      <c r="D75" s="155">
        <v>0</v>
      </c>
      <c r="E75" s="155">
        <v>0</v>
      </c>
      <c r="F75" s="155">
        <v>0</v>
      </c>
      <c r="G75" s="37">
        <v>1000000</v>
      </c>
      <c r="H75" s="50">
        <f t="shared" si="3"/>
        <v>1000000</v>
      </c>
      <c r="I75" s="56" t="s">
        <v>208</v>
      </c>
    </row>
    <row r="76" spans="1:9" x14ac:dyDescent="0.25">
      <c r="A76" s="56">
        <v>6</v>
      </c>
      <c r="B76" s="47">
        <v>22020402</v>
      </c>
      <c r="C76" s="57" t="s">
        <v>174</v>
      </c>
      <c r="D76" s="155">
        <v>0</v>
      </c>
      <c r="E76" s="155">
        <v>0</v>
      </c>
      <c r="F76" s="155">
        <v>0</v>
      </c>
      <c r="G76" s="37">
        <v>200000</v>
      </c>
      <c r="H76" s="50">
        <f t="shared" si="3"/>
        <v>200000</v>
      </c>
      <c r="I76" s="56" t="s">
        <v>208</v>
      </c>
    </row>
    <row r="77" spans="1:9" x14ac:dyDescent="0.25">
      <c r="A77" s="56">
        <v>7</v>
      </c>
      <c r="B77" s="47">
        <v>22020501</v>
      </c>
      <c r="C77" s="57" t="s">
        <v>223</v>
      </c>
      <c r="D77" s="155">
        <v>0</v>
      </c>
      <c r="E77" s="155">
        <v>0</v>
      </c>
      <c r="F77" s="155">
        <v>0</v>
      </c>
      <c r="G77" s="50">
        <v>200000</v>
      </c>
      <c r="H77" s="50">
        <f t="shared" si="3"/>
        <v>200000</v>
      </c>
      <c r="I77" s="56" t="s">
        <v>208</v>
      </c>
    </row>
    <row r="78" spans="1:9" x14ac:dyDescent="0.25">
      <c r="A78" s="56">
        <v>8</v>
      </c>
      <c r="B78" s="47">
        <v>22021007</v>
      </c>
      <c r="C78" s="57" t="s">
        <v>224</v>
      </c>
      <c r="D78" s="155">
        <v>0</v>
      </c>
      <c r="E78" s="155">
        <v>0</v>
      </c>
      <c r="F78" s="155">
        <v>0</v>
      </c>
      <c r="G78" s="188">
        <v>100000</v>
      </c>
      <c r="H78" s="60">
        <f t="shared" si="3"/>
        <v>100000</v>
      </c>
      <c r="I78" s="56" t="s">
        <v>208</v>
      </c>
    </row>
    <row r="79" spans="1:9" x14ac:dyDescent="0.25">
      <c r="A79" s="56">
        <v>9</v>
      </c>
      <c r="B79" s="47">
        <v>41040105</v>
      </c>
      <c r="C79" s="57" t="s">
        <v>225</v>
      </c>
      <c r="D79" s="155">
        <v>0</v>
      </c>
      <c r="E79" s="155">
        <v>0</v>
      </c>
      <c r="F79" s="155">
        <v>0</v>
      </c>
      <c r="G79" s="188">
        <v>60000</v>
      </c>
      <c r="H79" s="60">
        <f t="shared" si="3"/>
        <v>60000</v>
      </c>
      <c r="I79" s="56" t="s">
        <v>208</v>
      </c>
    </row>
    <row r="80" spans="1:9" x14ac:dyDescent="0.25">
      <c r="A80" s="33"/>
      <c r="B80" s="31"/>
      <c r="C80" s="67" t="s">
        <v>38</v>
      </c>
      <c r="D80" s="73">
        <f>SUM(D71:D79)</f>
        <v>0</v>
      </c>
      <c r="E80" s="73"/>
      <c r="F80" s="155">
        <v>0</v>
      </c>
      <c r="G80" s="73">
        <f>SUM(G71:G79)</f>
        <v>2000000</v>
      </c>
      <c r="H80" s="73">
        <f>SUM(H71:H79)</f>
        <v>2000000</v>
      </c>
      <c r="I80" s="33"/>
    </row>
    <row r="95" spans="1:9" x14ac:dyDescent="0.25">
      <c r="A95" s="628" t="s">
        <v>276</v>
      </c>
      <c r="B95" s="628"/>
      <c r="C95" s="628"/>
      <c r="D95" s="628"/>
      <c r="E95" s="628"/>
      <c r="F95" s="628"/>
      <c r="G95" s="628"/>
      <c r="H95" s="628"/>
      <c r="I95" s="628"/>
    </row>
    <row r="96" spans="1:9" x14ac:dyDescent="0.25">
      <c r="A96" s="628" t="s">
        <v>1176</v>
      </c>
      <c r="B96" s="628"/>
      <c r="C96" s="628"/>
      <c r="D96" s="628"/>
      <c r="E96" s="628"/>
      <c r="F96" s="628"/>
      <c r="G96" s="628"/>
      <c r="H96" s="628"/>
      <c r="I96" s="628"/>
    </row>
    <row r="97" spans="1:9" x14ac:dyDescent="0.25">
      <c r="A97" s="628" t="s">
        <v>151</v>
      </c>
      <c r="B97" s="628"/>
      <c r="C97" s="628"/>
      <c r="D97" s="628"/>
      <c r="E97" s="628"/>
      <c r="F97" s="628"/>
      <c r="G97" s="628"/>
      <c r="H97" s="628"/>
      <c r="I97" s="628"/>
    </row>
    <row r="98" spans="1:9" x14ac:dyDescent="0.25">
      <c r="A98" s="235"/>
      <c r="B98" s="235"/>
      <c r="C98" s="235"/>
      <c r="D98" s="235"/>
      <c r="E98" s="235"/>
      <c r="F98" s="235"/>
      <c r="G98" s="235"/>
      <c r="H98" s="235"/>
    </row>
    <row r="99" spans="1:9" x14ac:dyDescent="0.25">
      <c r="A99" s="62" t="s">
        <v>282</v>
      </c>
      <c r="B99" s="62"/>
      <c r="C99" s="62"/>
      <c r="D99" s="62"/>
      <c r="E99" s="62"/>
      <c r="F99" s="62"/>
      <c r="G99" s="62"/>
      <c r="H99" s="63"/>
    </row>
    <row r="100" spans="1:9" x14ac:dyDescent="0.25">
      <c r="A100" s="63"/>
      <c r="B100" s="235"/>
      <c r="C100" s="63"/>
      <c r="D100" s="63"/>
      <c r="E100" s="63"/>
      <c r="F100" s="63"/>
      <c r="G100" s="63"/>
      <c r="H100" s="63"/>
    </row>
    <row r="101" spans="1:9" x14ac:dyDescent="0.25">
      <c r="A101" s="64" t="s">
        <v>283</v>
      </c>
      <c r="B101" s="64"/>
      <c r="C101" s="64"/>
      <c r="D101" s="63"/>
      <c r="E101" s="63"/>
      <c r="F101" s="63"/>
      <c r="G101" s="63"/>
      <c r="H101" s="63"/>
    </row>
    <row r="102" spans="1:9" ht="36.75" x14ac:dyDescent="0.25">
      <c r="A102" s="46" t="s">
        <v>0</v>
      </c>
      <c r="B102" s="65" t="s">
        <v>35</v>
      </c>
      <c r="C102" s="65" t="s">
        <v>36</v>
      </c>
      <c r="D102" s="65" t="s">
        <v>279</v>
      </c>
      <c r="E102" s="65" t="s">
        <v>222</v>
      </c>
      <c r="F102" s="65" t="s">
        <v>273</v>
      </c>
      <c r="G102" s="66" t="s">
        <v>37</v>
      </c>
      <c r="H102" s="66" t="s">
        <v>1175</v>
      </c>
      <c r="I102" s="66" t="s">
        <v>209</v>
      </c>
    </row>
    <row r="103" spans="1:9" x14ac:dyDescent="0.25">
      <c r="A103" s="56">
        <v>1</v>
      </c>
      <c r="B103" s="47">
        <v>22020102</v>
      </c>
      <c r="C103" s="57" t="s">
        <v>170</v>
      </c>
      <c r="D103" s="59">
        <v>4100000</v>
      </c>
      <c r="E103" s="155">
        <v>0</v>
      </c>
      <c r="F103" s="155">
        <v>0</v>
      </c>
      <c r="G103" s="51"/>
      <c r="H103" s="50">
        <f t="shared" ref="H103:H111" si="4">D103+G103</f>
        <v>4100000</v>
      </c>
      <c r="I103" s="56"/>
    </row>
    <row r="104" spans="1:9" x14ac:dyDescent="0.25">
      <c r="A104" s="56">
        <v>2</v>
      </c>
      <c r="B104" s="47">
        <v>22020202</v>
      </c>
      <c r="C104" s="57" t="s">
        <v>171</v>
      </c>
      <c r="D104" s="59">
        <v>100000</v>
      </c>
      <c r="E104" s="155">
        <v>0</v>
      </c>
      <c r="F104" s="155">
        <v>0</v>
      </c>
      <c r="G104" s="51"/>
      <c r="H104" s="50">
        <f t="shared" si="4"/>
        <v>100000</v>
      </c>
      <c r="I104" s="56"/>
    </row>
    <row r="105" spans="1:9" ht="23.25" x14ac:dyDescent="0.25">
      <c r="A105" s="56">
        <v>3</v>
      </c>
      <c r="B105" s="47">
        <v>22020301</v>
      </c>
      <c r="C105" s="57" t="s">
        <v>172</v>
      </c>
      <c r="D105" s="59">
        <v>2200000</v>
      </c>
      <c r="E105" s="155">
        <v>0</v>
      </c>
      <c r="F105" s="155">
        <v>0</v>
      </c>
      <c r="G105" s="37"/>
      <c r="H105" s="50">
        <f t="shared" si="4"/>
        <v>2200000</v>
      </c>
      <c r="I105" s="56"/>
    </row>
    <row r="106" spans="1:9" x14ac:dyDescent="0.25">
      <c r="A106" s="56">
        <v>4</v>
      </c>
      <c r="B106" s="47">
        <v>22020305</v>
      </c>
      <c r="C106" s="57" t="s">
        <v>275</v>
      </c>
      <c r="D106" s="59">
        <v>1400000</v>
      </c>
      <c r="E106" s="155">
        <v>0</v>
      </c>
      <c r="F106" s="155">
        <v>0</v>
      </c>
      <c r="G106" s="37"/>
      <c r="H106" s="50">
        <f t="shared" si="4"/>
        <v>1400000</v>
      </c>
      <c r="I106" s="56"/>
    </row>
    <row r="107" spans="1:9" ht="23.25" x14ac:dyDescent="0.25">
      <c r="A107" s="56">
        <v>5</v>
      </c>
      <c r="B107" s="47">
        <v>22020401</v>
      </c>
      <c r="C107" s="57" t="s">
        <v>173</v>
      </c>
      <c r="D107" s="59">
        <v>3000000</v>
      </c>
      <c r="E107" s="155">
        <v>0</v>
      </c>
      <c r="F107" s="155">
        <v>0</v>
      </c>
      <c r="G107" s="37"/>
      <c r="H107" s="50">
        <f t="shared" si="4"/>
        <v>3000000</v>
      </c>
      <c r="I107" s="56"/>
    </row>
    <row r="108" spans="1:9" x14ac:dyDescent="0.25">
      <c r="A108" s="56">
        <v>6</v>
      </c>
      <c r="B108" s="47">
        <v>22020402</v>
      </c>
      <c r="C108" s="57" t="s">
        <v>174</v>
      </c>
      <c r="D108" s="59">
        <v>500000</v>
      </c>
      <c r="E108" s="155">
        <v>0</v>
      </c>
      <c r="F108" s="155">
        <v>0</v>
      </c>
      <c r="G108" s="37"/>
      <c r="H108" s="50">
        <f t="shared" si="4"/>
        <v>500000</v>
      </c>
      <c r="I108" s="56"/>
    </row>
    <row r="109" spans="1:9" x14ac:dyDescent="0.25">
      <c r="A109" s="56">
        <v>7</v>
      </c>
      <c r="B109" s="47">
        <v>22020501</v>
      </c>
      <c r="C109" s="57" t="s">
        <v>223</v>
      </c>
      <c r="D109" s="59">
        <v>3500000</v>
      </c>
      <c r="E109" s="155">
        <v>0</v>
      </c>
      <c r="F109" s="155">
        <v>0</v>
      </c>
      <c r="G109" s="50">
        <v>1500000</v>
      </c>
      <c r="H109" s="50">
        <f t="shared" si="4"/>
        <v>5000000</v>
      </c>
      <c r="I109" s="56" t="s">
        <v>208</v>
      </c>
    </row>
    <row r="110" spans="1:9" x14ac:dyDescent="0.25">
      <c r="A110" s="56">
        <v>8</v>
      </c>
      <c r="B110" s="47">
        <v>22021007</v>
      </c>
      <c r="C110" s="57" t="s">
        <v>224</v>
      </c>
      <c r="D110" s="59">
        <v>200000</v>
      </c>
      <c r="E110" s="155">
        <v>0</v>
      </c>
      <c r="F110" s="155">
        <v>0</v>
      </c>
      <c r="G110" s="188"/>
      <c r="H110" s="60">
        <f t="shared" si="4"/>
        <v>200000</v>
      </c>
      <c r="I110" s="56"/>
    </row>
    <row r="111" spans="1:9" x14ac:dyDescent="0.25">
      <c r="A111" s="56">
        <v>9</v>
      </c>
      <c r="B111" s="47">
        <v>41040105</v>
      </c>
      <c r="C111" s="57" t="s">
        <v>225</v>
      </c>
      <c r="D111" s="237">
        <v>0</v>
      </c>
      <c r="E111" s="155">
        <v>0</v>
      </c>
      <c r="F111" s="155">
        <v>0</v>
      </c>
      <c r="G111" s="188"/>
      <c r="H111" s="60">
        <f t="shared" si="4"/>
        <v>0</v>
      </c>
      <c r="I111" s="56"/>
    </row>
    <row r="112" spans="1:9" x14ac:dyDescent="0.25">
      <c r="A112" s="33"/>
      <c r="B112" s="31"/>
      <c r="C112" s="67" t="s">
        <v>38</v>
      </c>
      <c r="D112" s="73">
        <f>SUM(D103:D111)</f>
        <v>15000000</v>
      </c>
      <c r="E112" s="73"/>
      <c r="F112" s="155">
        <v>0</v>
      </c>
      <c r="G112" s="73">
        <f>SUM(G103:G111)</f>
        <v>1500000</v>
      </c>
      <c r="H112" s="73">
        <f>SUM(H103:H111)</f>
        <v>16500000</v>
      </c>
      <c r="I112" s="33"/>
    </row>
    <row r="127" spans="1:9" x14ac:dyDescent="0.25">
      <c r="A127" s="628" t="s">
        <v>276</v>
      </c>
      <c r="B127" s="628"/>
      <c r="C127" s="628"/>
      <c r="D127" s="628"/>
      <c r="E127" s="628"/>
      <c r="F127" s="628"/>
      <c r="G127" s="628"/>
      <c r="H127" s="628"/>
      <c r="I127" s="628"/>
    </row>
    <row r="128" spans="1:9" x14ac:dyDescent="0.25">
      <c r="A128" s="628" t="s">
        <v>1176</v>
      </c>
      <c r="B128" s="628"/>
      <c r="C128" s="628"/>
      <c r="D128" s="628"/>
      <c r="E128" s="628"/>
      <c r="F128" s="628"/>
      <c r="G128" s="628"/>
      <c r="H128" s="628"/>
      <c r="I128" s="628"/>
    </row>
    <row r="129" spans="1:9" x14ac:dyDescent="0.25">
      <c r="A129" s="628" t="s">
        <v>151</v>
      </c>
      <c r="B129" s="628"/>
      <c r="C129" s="628"/>
      <c r="D129" s="628"/>
      <c r="E129" s="628"/>
      <c r="F129" s="628"/>
      <c r="G129" s="628"/>
      <c r="H129" s="628"/>
      <c r="I129" s="628"/>
    </row>
    <row r="130" spans="1:9" x14ac:dyDescent="0.25">
      <c r="A130" s="389"/>
      <c r="B130" s="389"/>
      <c r="C130" s="389"/>
      <c r="D130" s="389"/>
      <c r="E130" s="389"/>
      <c r="F130" s="389"/>
      <c r="G130" s="389"/>
      <c r="H130" s="389"/>
    </row>
    <row r="131" spans="1:9" x14ac:dyDescent="0.25">
      <c r="A131" s="62" t="s">
        <v>1014</v>
      </c>
      <c r="B131" s="62"/>
      <c r="C131" s="62"/>
      <c r="D131" s="62"/>
      <c r="E131" s="62"/>
      <c r="F131" s="62"/>
      <c r="G131" s="62"/>
      <c r="H131" s="63"/>
    </row>
    <row r="132" spans="1:9" x14ac:dyDescent="0.25">
      <c r="A132" s="63"/>
      <c r="B132" s="389"/>
      <c r="C132" s="63"/>
      <c r="D132" s="63"/>
      <c r="E132" s="63"/>
      <c r="F132" s="63"/>
      <c r="G132" s="63"/>
      <c r="H132" s="63"/>
    </row>
    <row r="133" spans="1:9" x14ac:dyDescent="0.25">
      <c r="A133" s="64" t="s">
        <v>1015</v>
      </c>
      <c r="B133" s="64"/>
      <c r="C133" s="64"/>
      <c r="D133" s="63"/>
      <c r="E133" s="63"/>
      <c r="F133" s="63"/>
      <c r="G133" s="63"/>
      <c r="H133" s="63"/>
    </row>
    <row r="134" spans="1:9" ht="36.75" x14ac:dyDescent="0.25">
      <c r="A134" s="46" t="s">
        <v>0</v>
      </c>
      <c r="B134" s="65" t="s">
        <v>35</v>
      </c>
      <c r="C134" s="65" t="s">
        <v>36</v>
      </c>
      <c r="D134" s="65" t="s">
        <v>279</v>
      </c>
      <c r="E134" s="65" t="s">
        <v>222</v>
      </c>
      <c r="F134" s="65" t="s">
        <v>273</v>
      </c>
      <c r="G134" s="66" t="s">
        <v>37</v>
      </c>
      <c r="H134" s="66" t="s">
        <v>1175</v>
      </c>
      <c r="I134" s="66" t="s">
        <v>209</v>
      </c>
    </row>
    <row r="135" spans="1:9" x14ac:dyDescent="0.25">
      <c r="A135" s="56">
        <v>1</v>
      </c>
      <c r="B135" s="47">
        <v>22020102</v>
      </c>
      <c r="C135" s="57" t="s">
        <v>170</v>
      </c>
      <c r="D135" s="155">
        <v>0</v>
      </c>
      <c r="E135" s="155">
        <v>0</v>
      </c>
      <c r="F135" s="155">
        <v>0</v>
      </c>
      <c r="G135" s="51">
        <v>1500000</v>
      </c>
      <c r="H135" s="50">
        <f t="shared" ref="H135:H143" si="5">D135+G135</f>
        <v>1500000</v>
      </c>
      <c r="I135" s="56" t="s">
        <v>208</v>
      </c>
    </row>
    <row r="136" spans="1:9" x14ac:dyDescent="0.25">
      <c r="A136" s="56">
        <v>2</v>
      </c>
      <c r="B136" s="47">
        <v>22020202</v>
      </c>
      <c r="C136" s="57" t="s">
        <v>171</v>
      </c>
      <c r="D136" s="155">
        <v>0</v>
      </c>
      <c r="E136" s="155">
        <v>0</v>
      </c>
      <c r="F136" s="155">
        <v>0</v>
      </c>
      <c r="G136" s="51">
        <v>1000000</v>
      </c>
      <c r="H136" s="50">
        <f t="shared" si="5"/>
        <v>1000000</v>
      </c>
      <c r="I136" s="56" t="s">
        <v>208</v>
      </c>
    </row>
    <row r="137" spans="1:9" ht="23.25" x14ac:dyDescent="0.25">
      <c r="A137" s="56">
        <v>3</v>
      </c>
      <c r="B137" s="47">
        <v>22020301</v>
      </c>
      <c r="C137" s="57" t="s">
        <v>172</v>
      </c>
      <c r="D137" s="155">
        <v>0</v>
      </c>
      <c r="E137" s="155">
        <v>0</v>
      </c>
      <c r="F137" s="155">
        <v>0</v>
      </c>
      <c r="G137" s="37">
        <v>200000</v>
      </c>
      <c r="H137" s="50">
        <f t="shared" si="5"/>
        <v>200000</v>
      </c>
      <c r="I137" s="56" t="s">
        <v>208</v>
      </c>
    </row>
    <row r="138" spans="1:9" x14ac:dyDescent="0.25">
      <c r="A138" s="56">
        <v>4</v>
      </c>
      <c r="B138" s="47">
        <v>22020305</v>
      </c>
      <c r="C138" s="57" t="s">
        <v>275</v>
      </c>
      <c r="D138" s="155">
        <v>0</v>
      </c>
      <c r="E138" s="155">
        <v>0</v>
      </c>
      <c r="F138" s="155">
        <v>0</v>
      </c>
      <c r="G138" s="37">
        <v>1200000</v>
      </c>
      <c r="H138" s="50">
        <f t="shared" si="5"/>
        <v>1200000</v>
      </c>
      <c r="I138" s="56" t="s">
        <v>208</v>
      </c>
    </row>
    <row r="139" spans="1:9" ht="23.25" x14ac:dyDescent="0.25">
      <c r="A139" s="56">
        <v>5</v>
      </c>
      <c r="B139" s="47">
        <v>22020401</v>
      </c>
      <c r="C139" s="57" t="s">
        <v>173</v>
      </c>
      <c r="D139" s="155">
        <v>0</v>
      </c>
      <c r="E139" s="155">
        <v>0</v>
      </c>
      <c r="F139" s="155">
        <v>0</v>
      </c>
      <c r="G139" s="37">
        <v>800000</v>
      </c>
      <c r="H139" s="50">
        <f t="shared" si="5"/>
        <v>800000</v>
      </c>
      <c r="I139" s="56" t="s">
        <v>208</v>
      </c>
    </row>
    <row r="140" spans="1:9" x14ac:dyDescent="0.25">
      <c r="A140" s="56">
        <v>6</v>
      </c>
      <c r="B140" s="47">
        <v>22020402</v>
      </c>
      <c r="C140" s="57" t="s">
        <v>174</v>
      </c>
      <c r="D140" s="155">
        <v>0</v>
      </c>
      <c r="E140" s="155">
        <v>0</v>
      </c>
      <c r="F140" s="155">
        <v>0</v>
      </c>
      <c r="G140" s="37">
        <v>1000000</v>
      </c>
      <c r="H140" s="50">
        <f t="shared" si="5"/>
        <v>1000000</v>
      </c>
      <c r="I140" s="56" t="s">
        <v>208</v>
      </c>
    </row>
    <row r="141" spans="1:9" x14ac:dyDescent="0.25">
      <c r="A141" s="56">
        <v>7</v>
      </c>
      <c r="B141" s="47">
        <v>22020501</v>
      </c>
      <c r="C141" s="57" t="s">
        <v>223</v>
      </c>
      <c r="D141" s="155">
        <v>0</v>
      </c>
      <c r="E141" s="155">
        <v>0</v>
      </c>
      <c r="F141" s="155">
        <v>0</v>
      </c>
      <c r="G141" s="50">
        <v>500000</v>
      </c>
      <c r="H141" s="50">
        <f t="shared" si="5"/>
        <v>500000</v>
      </c>
      <c r="I141" s="56" t="s">
        <v>208</v>
      </c>
    </row>
    <row r="142" spans="1:9" x14ac:dyDescent="0.25">
      <c r="A142" s="56">
        <v>8</v>
      </c>
      <c r="B142" s="47">
        <v>22021007</v>
      </c>
      <c r="C142" s="57" t="s">
        <v>224</v>
      </c>
      <c r="D142" s="155">
        <v>0</v>
      </c>
      <c r="E142" s="155">
        <v>0</v>
      </c>
      <c r="F142" s="155">
        <v>0</v>
      </c>
      <c r="G142" s="188">
        <v>1500000</v>
      </c>
      <c r="H142" s="60">
        <f t="shared" si="5"/>
        <v>1500000</v>
      </c>
      <c r="I142" s="56" t="s">
        <v>208</v>
      </c>
    </row>
    <row r="143" spans="1:9" x14ac:dyDescent="0.25">
      <c r="A143" s="56">
        <v>9</v>
      </c>
      <c r="B143" s="47">
        <v>41040105</v>
      </c>
      <c r="C143" s="57" t="s">
        <v>225</v>
      </c>
      <c r="D143" s="155">
        <v>0</v>
      </c>
      <c r="E143" s="155">
        <v>0</v>
      </c>
      <c r="F143" s="155">
        <v>0</v>
      </c>
      <c r="G143" s="188">
        <v>300000</v>
      </c>
      <c r="H143" s="60">
        <f t="shared" si="5"/>
        <v>300000</v>
      </c>
      <c r="I143" s="56" t="s">
        <v>208</v>
      </c>
    </row>
    <row r="144" spans="1:9" x14ac:dyDescent="0.25">
      <c r="A144" s="33"/>
      <c r="B144" s="31"/>
      <c r="C144" s="67" t="s">
        <v>38</v>
      </c>
      <c r="D144" s="73">
        <f>SUM(D135:D143)</f>
        <v>0</v>
      </c>
      <c r="E144" s="73"/>
      <c r="F144" s="155">
        <v>0</v>
      </c>
      <c r="G144" s="73">
        <f>SUM(G135:G143)</f>
        <v>8000000</v>
      </c>
      <c r="H144" s="73">
        <f>SUM(H135:H143)</f>
        <v>8000000</v>
      </c>
      <c r="I144" s="33"/>
    </row>
    <row r="159" spans="1:9" x14ac:dyDescent="0.25">
      <c r="A159" s="628" t="s">
        <v>276</v>
      </c>
      <c r="B159" s="628"/>
      <c r="C159" s="628"/>
      <c r="D159" s="628"/>
      <c r="E159" s="628"/>
      <c r="F159" s="628"/>
      <c r="G159" s="628"/>
      <c r="H159" s="628"/>
      <c r="I159" s="628"/>
    </row>
    <row r="160" spans="1:9" x14ac:dyDescent="0.25">
      <c r="A160" s="628" t="s">
        <v>1176</v>
      </c>
      <c r="B160" s="628"/>
      <c r="C160" s="628"/>
      <c r="D160" s="628"/>
      <c r="E160" s="628"/>
      <c r="F160" s="628"/>
      <c r="G160" s="628"/>
      <c r="H160" s="628"/>
      <c r="I160" s="628"/>
    </row>
    <row r="161" spans="1:9" x14ac:dyDescent="0.25">
      <c r="A161" s="628" t="s">
        <v>151</v>
      </c>
      <c r="B161" s="628"/>
      <c r="C161" s="628"/>
      <c r="D161" s="628"/>
      <c r="E161" s="628"/>
      <c r="F161" s="628"/>
      <c r="G161" s="628"/>
      <c r="H161" s="628"/>
      <c r="I161" s="628"/>
    </row>
    <row r="162" spans="1:9" x14ac:dyDescent="0.25">
      <c r="A162" s="360"/>
      <c r="B162" s="360"/>
      <c r="C162" s="360"/>
      <c r="D162" s="360"/>
      <c r="E162" s="360"/>
      <c r="F162" s="360"/>
      <c r="G162" s="360"/>
      <c r="H162" s="360"/>
    </row>
    <row r="163" spans="1:9" x14ac:dyDescent="0.25">
      <c r="A163" s="62" t="s">
        <v>616</v>
      </c>
      <c r="B163" s="62"/>
      <c r="C163" s="62"/>
      <c r="D163" s="62"/>
      <c r="E163" s="62"/>
      <c r="F163" s="62"/>
      <c r="G163" s="62"/>
      <c r="H163" s="63"/>
    </row>
    <row r="164" spans="1:9" x14ac:dyDescent="0.25">
      <c r="A164" s="63"/>
      <c r="B164" s="360"/>
      <c r="C164" s="63"/>
      <c r="D164" s="63"/>
      <c r="E164" s="63"/>
      <c r="F164" s="63"/>
      <c r="G164" s="63"/>
      <c r="H164" s="63"/>
    </row>
    <row r="165" spans="1:9" x14ac:dyDescent="0.25">
      <c r="A165" s="64" t="s">
        <v>617</v>
      </c>
      <c r="B165" s="64"/>
      <c r="C165" s="64"/>
      <c r="D165" s="63"/>
      <c r="E165" s="63"/>
      <c r="F165" s="63"/>
      <c r="G165" s="63"/>
      <c r="H165" s="63"/>
    </row>
    <row r="166" spans="1:9" ht="36.75" x14ac:dyDescent="0.25">
      <c r="A166" s="46" t="s">
        <v>0</v>
      </c>
      <c r="B166" s="65" t="s">
        <v>35</v>
      </c>
      <c r="C166" s="65" t="s">
        <v>36</v>
      </c>
      <c r="D166" s="65" t="s">
        <v>279</v>
      </c>
      <c r="E166" s="65" t="s">
        <v>222</v>
      </c>
      <c r="F166" s="65" t="s">
        <v>273</v>
      </c>
      <c r="G166" s="66" t="s">
        <v>37</v>
      </c>
      <c r="H166" s="66" t="s">
        <v>1175</v>
      </c>
      <c r="I166" s="66" t="s">
        <v>209</v>
      </c>
    </row>
    <row r="167" spans="1:9" x14ac:dyDescent="0.25">
      <c r="A167" s="56">
        <v>1</v>
      </c>
      <c r="B167" s="47">
        <v>22020102</v>
      </c>
      <c r="C167" s="275" t="s">
        <v>170</v>
      </c>
      <c r="D167" s="59">
        <v>16092000</v>
      </c>
      <c r="E167" s="155">
        <v>0</v>
      </c>
      <c r="F167" s="155">
        <v>6000000</v>
      </c>
      <c r="G167" s="155"/>
      <c r="H167" s="50">
        <f t="shared" ref="H167:H176" si="6">D167-F167+G167</f>
        <v>10092000</v>
      </c>
      <c r="I167" s="56" t="s">
        <v>235</v>
      </c>
    </row>
    <row r="168" spans="1:9" x14ac:dyDescent="0.25">
      <c r="A168" s="56">
        <v>2</v>
      </c>
      <c r="B168" s="47">
        <v>22020201</v>
      </c>
      <c r="C168" s="275" t="s">
        <v>618</v>
      </c>
      <c r="D168" s="59">
        <v>1000000</v>
      </c>
      <c r="E168" s="155">
        <v>0</v>
      </c>
      <c r="F168" s="155">
        <v>0</v>
      </c>
      <c r="G168" s="155"/>
      <c r="H168" s="50">
        <f t="shared" si="6"/>
        <v>1000000</v>
      </c>
      <c r="I168" s="56"/>
    </row>
    <row r="169" spans="1:9" x14ac:dyDescent="0.25">
      <c r="A169" s="56">
        <v>3</v>
      </c>
      <c r="B169" s="47">
        <v>22020202</v>
      </c>
      <c r="C169" s="275" t="s">
        <v>171</v>
      </c>
      <c r="D169" s="59">
        <v>1000000</v>
      </c>
      <c r="E169" s="155">
        <v>0</v>
      </c>
      <c r="F169" s="155">
        <v>0</v>
      </c>
      <c r="G169" s="155">
        <v>0</v>
      </c>
      <c r="H169" s="50">
        <f t="shared" si="6"/>
        <v>1000000</v>
      </c>
      <c r="I169" s="56"/>
    </row>
    <row r="170" spans="1:9" ht="24.75" x14ac:dyDescent="0.25">
      <c r="A170" s="56">
        <v>4</v>
      </c>
      <c r="B170" s="47">
        <v>22020301</v>
      </c>
      <c r="C170" s="275" t="s">
        <v>172</v>
      </c>
      <c r="D170" s="59">
        <v>2000000</v>
      </c>
      <c r="E170" s="155">
        <v>0</v>
      </c>
      <c r="F170" s="155">
        <v>0</v>
      </c>
      <c r="G170" s="155">
        <v>0</v>
      </c>
      <c r="H170" s="50">
        <f t="shared" si="6"/>
        <v>2000000</v>
      </c>
      <c r="I170" s="56"/>
    </row>
    <row r="171" spans="1:9" ht="24.75" x14ac:dyDescent="0.25">
      <c r="A171" s="56">
        <v>5</v>
      </c>
      <c r="B171" s="47">
        <v>22020305</v>
      </c>
      <c r="C171" s="275" t="s">
        <v>275</v>
      </c>
      <c r="D171" s="59">
        <v>1800000</v>
      </c>
      <c r="E171" s="155">
        <v>0</v>
      </c>
      <c r="F171" s="155">
        <v>0</v>
      </c>
      <c r="G171" s="155">
        <v>0</v>
      </c>
      <c r="H171" s="50">
        <f t="shared" si="6"/>
        <v>1800000</v>
      </c>
      <c r="I171" s="56"/>
    </row>
    <row r="172" spans="1:9" ht="24.75" x14ac:dyDescent="0.25">
      <c r="A172" s="56">
        <v>6</v>
      </c>
      <c r="B172" s="47">
        <v>22020401</v>
      </c>
      <c r="C172" s="275" t="s">
        <v>173</v>
      </c>
      <c r="D172" s="59">
        <v>2500000</v>
      </c>
      <c r="E172" s="155">
        <v>0</v>
      </c>
      <c r="F172" s="155">
        <v>0</v>
      </c>
      <c r="G172" s="155">
        <v>0</v>
      </c>
      <c r="H172" s="50">
        <f t="shared" si="6"/>
        <v>2500000</v>
      </c>
      <c r="I172" s="56"/>
    </row>
    <row r="173" spans="1:9" x14ac:dyDescent="0.25">
      <c r="A173" s="56">
        <v>7</v>
      </c>
      <c r="B173" s="47">
        <v>22020402</v>
      </c>
      <c r="C173" s="275" t="s">
        <v>174</v>
      </c>
      <c r="D173" s="59">
        <v>900000</v>
      </c>
      <c r="E173" s="155">
        <v>0</v>
      </c>
      <c r="F173" s="155">
        <v>0</v>
      </c>
      <c r="G173" s="155">
        <v>0</v>
      </c>
      <c r="H173" s="50">
        <f t="shared" si="6"/>
        <v>900000</v>
      </c>
      <c r="I173" s="56"/>
    </row>
    <row r="174" spans="1:9" x14ac:dyDescent="0.25">
      <c r="A174" s="56">
        <v>8</v>
      </c>
      <c r="B174" s="47">
        <v>22020501</v>
      </c>
      <c r="C174" s="275" t="s">
        <v>223</v>
      </c>
      <c r="D174" s="59">
        <v>2208000</v>
      </c>
      <c r="E174" s="155">
        <v>0</v>
      </c>
      <c r="F174" s="155">
        <v>0</v>
      </c>
      <c r="G174" s="155">
        <v>6000000</v>
      </c>
      <c r="H174" s="50">
        <f t="shared" si="6"/>
        <v>8208000</v>
      </c>
      <c r="I174" s="56" t="s">
        <v>208</v>
      </c>
    </row>
    <row r="175" spans="1:9" x14ac:dyDescent="0.25">
      <c r="A175" s="56">
        <v>9</v>
      </c>
      <c r="B175" s="47">
        <v>22021001</v>
      </c>
      <c r="C175" s="275" t="s">
        <v>175</v>
      </c>
      <c r="D175" s="59">
        <v>600000</v>
      </c>
      <c r="E175" s="155">
        <v>0</v>
      </c>
      <c r="F175" s="155">
        <v>0</v>
      </c>
      <c r="G175" s="155">
        <v>0</v>
      </c>
      <c r="H175" s="50">
        <f t="shared" si="6"/>
        <v>600000</v>
      </c>
      <c r="I175" s="56"/>
    </row>
    <row r="176" spans="1:9" x14ac:dyDescent="0.25">
      <c r="A176" s="56">
        <v>10</v>
      </c>
      <c r="B176" s="47">
        <v>22021007</v>
      </c>
      <c r="C176" s="275" t="s">
        <v>224</v>
      </c>
      <c r="D176" s="59">
        <v>1900000</v>
      </c>
      <c r="E176" s="155"/>
      <c r="F176" s="155"/>
      <c r="G176" s="155">
        <v>0</v>
      </c>
      <c r="H176" s="50">
        <f t="shared" si="6"/>
        <v>1900000</v>
      </c>
      <c r="I176" s="56"/>
    </row>
    <row r="177" spans="1:9" x14ac:dyDescent="0.25">
      <c r="A177" s="33"/>
      <c r="B177" s="31"/>
      <c r="C177" s="67" t="s">
        <v>38</v>
      </c>
      <c r="D177" s="73">
        <f t="shared" ref="D177:G177" si="7">SUM(D167:D176)</f>
        <v>30000000</v>
      </c>
      <c r="E177" s="254">
        <f t="shared" si="7"/>
        <v>0</v>
      </c>
      <c r="F177" s="73">
        <f t="shared" si="7"/>
        <v>6000000</v>
      </c>
      <c r="G177" s="73">
        <f t="shared" si="7"/>
        <v>6000000</v>
      </c>
      <c r="H177" s="73">
        <f>SUM(H167:H176)</f>
        <v>30000000</v>
      </c>
      <c r="I177" s="33"/>
    </row>
    <row r="190" spans="1:9" x14ac:dyDescent="0.25">
      <c r="A190" s="628" t="s">
        <v>276</v>
      </c>
      <c r="B190" s="628"/>
      <c r="C190" s="628"/>
      <c r="D190" s="628"/>
      <c r="E190" s="628"/>
      <c r="F190" s="628"/>
      <c r="G190" s="628"/>
      <c r="H190" s="628"/>
      <c r="I190" s="628"/>
    </row>
    <row r="191" spans="1:9" x14ac:dyDescent="0.25">
      <c r="A191" s="628" t="s">
        <v>1176</v>
      </c>
      <c r="B191" s="628"/>
      <c r="C191" s="628"/>
      <c r="D191" s="628"/>
      <c r="E191" s="628"/>
      <c r="F191" s="628"/>
      <c r="G191" s="628"/>
      <c r="H191" s="628"/>
      <c r="I191" s="628"/>
    </row>
    <row r="192" spans="1:9" x14ac:dyDescent="0.25">
      <c r="A192" s="628" t="s">
        <v>34</v>
      </c>
      <c r="B192" s="628"/>
      <c r="C192" s="628"/>
      <c r="D192" s="628"/>
      <c r="E192" s="628"/>
      <c r="F192" s="628"/>
      <c r="G192" s="628"/>
      <c r="H192" s="628"/>
      <c r="I192" s="628"/>
    </row>
    <row r="193" spans="1:9" x14ac:dyDescent="0.25">
      <c r="A193" s="388"/>
      <c r="B193" s="388"/>
      <c r="C193" s="388"/>
      <c r="D193" s="388"/>
      <c r="E193" s="388"/>
      <c r="F193" s="388"/>
      <c r="G193" s="388"/>
      <c r="H193" s="388"/>
    </row>
    <row r="194" spans="1:9" x14ac:dyDescent="0.25">
      <c r="A194" s="72" t="s">
        <v>619</v>
      </c>
      <c r="B194" s="62"/>
      <c r="C194" s="62"/>
      <c r="D194" s="62"/>
      <c r="E194" s="62"/>
      <c r="F194" s="62"/>
      <c r="G194" s="62"/>
      <c r="H194" s="63"/>
    </row>
    <row r="195" spans="1:9" x14ac:dyDescent="0.25">
      <c r="A195" s="63"/>
      <c r="B195" s="388"/>
      <c r="C195" s="63"/>
      <c r="D195" s="63"/>
      <c r="E195" s="63"/>
      <c r="F195" s="63"/>
      <c r="G195" s="63"/>
      <c r="H195" s="63"/>
    </row>
    <row r="196" spans="1:9" x14ac:dyDescent="0.25">
      <c r="A196" s="64" t="s">
        <v>620</v>
      </c>
      <c r="B196" s="64"/>
      <c r="C196" s="64"/>
      <c r="D196" s="63"/>
      <c r="E196" s="63"/>
      <c r="F196" s="63"/>
      <c r="G196" s="63"/>
      <c r="H196" s="63"/>
    </row>
    <row r="197" spans="1:9" ht="36.75" x14ac:dyDescent="0.25">
      <c r="A197" s="46" t="s">
        <v>0</v>
      </c>
      <c r="B197" s="65" t="s">
        <v>35</v>
      </c>
      <c r="C197" s="65" t="s">
        <v>36</v>
      </c>
      <c r="D197" s="65" t="s">
        <v>279</v>
      </c>
      <c r="E197" s="65" t="s">
        <v>222</v>
      </c>
      <c r="F197" s="65" t="s">
        <v>273</v>
      </c>
      <c r="G197" s="66" t="s">
        <v>37</v>
      </c>
      <c r="H197" s="66" t="s">
        <v>1175</v>
      </c>
      <c r="I197" s="66" t="s">
        <v>209</v>
      </c>
    </row>
    <row r="198" spans="1:9" x14ac:dyDescent="0.25">
      <c r="A198" s="36">
        <v>1</v>
      </c>
      <c r="B198" s="243">
        <v>22100201</v>
      </c>
      <c r="C198" s="244" t="s">
        <v>1090</v>
      </c>
      <c r="D198" s="241">
        <v>450000000</v>
      </c>
      <c r="E198" s="249" t="s">
        <v>633</v>
      </c>
      <c r="F198" s="249">
        <v>150000000</v>
      </c>
      <c r="G198" s="249">
        <v>0</v>
      </c>
      <c r="H198" s="50">
        <f>D198+G198-F198</f>
        <v>300000000</v>
      </c>
      <c r="I198" s="56" t="s">
        <v>235</v>
      </c>
    </row>
    <row r="199" spans="1:9" x14ac:dyDescent="0.25">
      <c r="A199" s="36">
        <v>2</v>
      </c>
      <c r="B199" s="243">
        <v>22100202</v>
      </c>
      <c r="C199" s="244" t="s">
        <v>621</v>
      </c>
      <c r="D199" s="241">
        <v>230000000</v>
      </c>
      <c r="E199" s="249" t="s">
        <v>633</v>
      </c>
      <c r="F199" s="249">
        <v>0</v>
      </c>
      <c r="G199" s="249">
        <v>0</v>
      </c>
      <c r="H199" s="50">
        <f t="shared" ref="H199:H205" si="8">D199+G199</f>
        <v>230000000</v>
      </c>
      <c r="I199" s="56"/>
    </row>
    <row r="200" spans="1:9" x14ac:dyDescent="0.25">
      <c r="A200" s="36">
        <v>3</v>
      </c>
      <c r="B200" s="243">
        <v>22100203</v>
      </c>
      <c r="C200" s="244" t="s">
        <v>622</v>
      </c>
      <c r="D200" s="241">
        <v>14000000</v>
      </c>
      <c r="E200" s="249" t="s">
        <v>633</v>
      </c>
      <c r="F200" s="249">
        <v>0</v>
      </c>
      <c r="G200" s="249">
        <v>0</v>
      </c>
      <c r="H200" s="50">
        <f t="shared" si="8"/>
        <v>14000000</v>
      </c>
      <c r="I200" s="56"/>
    </row>
    <row r="201" spans="1:9" x14ac:dyDescent="0.25">
      <c r="A201" s="36">
        <v>4</v>
      </c>
      <c r="B201" s="243">
        <v>22100204</v>
      </c>
      <c r="C201" s="244" t="s">
        <v>361</v>
      </c>
      <c r="D201" s="241">
        <v>210000000</v>
      </c>
      <c r="E201" s="249" t="s">
        <v>633</v>
      </c>
      <c r="F201" s="249">
        <v>0</v>
      </c>
      <c r="G201" s="249">
        <v>0</v>
      </c>
      <c r="H201" s="50">
        <f t="shared" si="8"/>
        <v>210000000</v>
      </c>
      <c r="I201" s="56"/>
    </row>
    <row r="202" spans="1:9" x14ac:dyDescent="0.25">
      <c r="A202" s="36">
        <v>5</v>
      </c>
      <c r="B202" s="243">
        <v>22100205</v>
      </c>
      <c r="C202" s="244" t="s">
        <v>623</v>
      </c>
      <c r="D202" s="241">
        <v>64000000</v>
      </c>
      <c r="E202" s="249" t="s">
        <v>633</v>
      </c>
      <c r="F202" s="249">
        <v>0</v>
      </c>
      <c r="G202" s="249">
        <v>0</v>
      </c>
      <c r="H202" s="50">
        <f t="shared" si="8"/>
        <v>64000000</v>
      </c>
      <c r="I202" s="56"/>
    </row>
    <row r="203" spans="1:9" x14ac:dyDescent="0.25">
      <c r="A203" s="36">
        <v>6</v>
      </c>
      <c r="B203" s="243">
        <v>22100206</v>
      </c>
      <c r="C203" s="244" t="s">
        <v>624</v>
      </c>
      <c r="D203" s="241">
        <v>130000000</v>
      </c>
      <c r="E203" s="249" t="s">
        <v>633</v>
      </c>
      <c r="F203" s="249">
        <v>0</v>
      </c>
      <c r="G203" s="249">
        <v>0</v>
      </c>
      <c r="H203" s="50">
        <f t="shared" si="8"/>
        <v>130000000</v>
      </c>
      <c r="I203" s="56"/>
    </row>
    <row r="204" spans="1:9" ht="23.25" x14ac:dyDescent="0.25">
      <c r="A204" s="36">
        <v>7</v>
      </c>
      <c r="B204" s="243">
        <v>22100207</v>
      </c>
      <c r="C204" s="244" t="s">
        <v>394</v>
      </c>
      <c r="D204" s="241">
        <v>336000000</v>
      </c>
      <c r="E204" s="249" t="s">
        <v>633</v>
      </c>
      <c r="F204" s="249">
        <v>0</v>
      </c>
      <c r="G204" s="249">
        <v>0</v>
      </c>
      <c r="H204" s="50">
        <f t="shared" si="8"/>
        <v>336000000</v>
      </c>
      <c r="I204" s="56"/>
    </row>
    <row r="205" spans="1:9" x14ac:dyDescent="0.25">
      <c r="A205" s="36">
        <v>8</v>
      </c>
      <c r="B205" s="243">
        <v>22100208</v>
      </c>
      <c r="C205" s="244" t="s">
        <v>632</v>
      </c>
      <c r="D205" s="241">
        <v>18000000</v>
      </c>
      <c r="E205" s="59">
        <v>10275000</v>
      </c>
      <c r="F205" s="249">
        <v>0</v>
      </c>
      <c r="G205" s="249">
        <v>6000000</v>
      </c>
      <c r="H205" s="50">
        <f t="shared" si="8"/>
        <v>24000000</v>
      </c>
      <c r="I205" s="56" t="s">
        <v>208</v>
      </c>
    </row>
    <row r="206" spans="1:9" x14ac:dyDescent="0.25">
      <c r="A206" s="36">
        <v>9</v>
      </c>
      <c r="B206" s="243">
        <v>22100209</v>
      </c>
      <c r="C206" s="244" t="s">
        <v>611</v>
      </c>
      <c r="D206" s="241">
        <v>500000000</v>
      </c>
      <c r="E206" s="249">
        <v>0</v>
      </c>
      <c r="F206" s="249">
        <v>300000000</v>
      </c>
      <c r="G206" s="249">
        <v>0</v>
      </c>
      <c r="H206" s="50">
        <f>D206+G206-F206</f>
        <v>200000000</v>
      </c>
      <c r="I206" s="56" t="s">
        <v>235</v>
      </c>
    </row>
    <row r="207" spans="1:9" x14ac:dyDescent="0.25">
      <c r="A207" s="36">
        <v>10</v>
      </c>
      <c r="B207" s="243">
        <v>22100210</v>
      </c>
      <c r="C207" s="244" t="s">
        <v>625</v>
      </c>
      <c r="D207" s="241">
        <v>68000000</v>
      </c>
      <c r="E207" s="249">
        <v>0</v>
      </c>
      <c r="F207" s="249">
        <v>0</v>
      </c>
      <c r="G207" s="249">
        <v>0</v>
      </c>
      <c r="H207" s="50">
        <f t="shared" ref="H207:H213" si="9">D207+G207</f>
        <v>68000000</v>
      </c>
      <c r="I207" s="56"/>
    </row>
    <row r="208" spans="1:9" x14ac:dyDescent="0.25">
      <c r="A208" s="36">
        <v>11</v>
      </c>
      <c r="B208" s="243">
        <v>22100305</v>
      </c>
      <c r="C208" s="244" t="s">
        <v>626</v>
      </c>
      <c r="D208" s="241">
        <v>80000000</v>
      </c>
      <c r="E208" s="249">
        <v>0</v>
      </c>
      <c r="F208" s="249">
        <v>0</v>
      </c>
      <c r="G208" s="249">
        <v>0</v>
      </c>
      <c r="H208" s="50">
        <f t="shared" si="9"/>
        <v>80000000</v>
      </c>
      <c r="I208" s="56"/>
    </row>
    <row r="209" spans="1:9" ht="23.25" x14ac:dyDescent="0.25">
      <c r="A209" s="36">
        <v>12</v>
      </c>
      <c r="B209" s="243">
        <v>22100641</v>
      </c>
      <c r="C209" s="244" t="s">
        <v>627</v>
      </c>
      <c r="D209" s="241">
        <v>8000000</v>
      </c>
      <c r="E209" s="249">
        <v>0</v>
      </c>
      <c r="F209" s="249">
        <v>0</v>
      </c>
      <c r="G209" s="249">
        <v>0</v>
      </c>
      <c r="H209" s="50">
        <f t="shared" si="9"/>
        <v>8000000</v>
      </c>
      <c r="I209" s="56"/>
    </row>
    <row r="210" spans="1:9" x14ac:dyDescent="0.25">
      <c r="A210" s="36">
        <v>13</v>
      </c>
      <c r="B210" s="243">
        <v>22100651</v>
      </c>
      <c r="C210" s="244" t="s">
        <v>628</v>
      </c>
      <c r="D210" s="241">
        <v>30000000</v>
      </c>
      <c r="E210" s="249">
        <v>0</v>
      </c>
      <c r="F210" s="249">
        <v>0</v>
      </c>
      <c r="G210" s="249">
        <v>0</v>
      </c>
      <c r="H210" s="50">
        <f t="shared" si="9"/>
        <v>30000000</v>
      </c>
      <c r="I210" s="56"/>
    </row>
    <row r="211" spans="1:9" x14ac:dyDescent="0.25">
      <c r="A211" s="36">
        <v>14</v>
      </c>
      <c r="B211" s="243">
        <v>22100652</v>
      </c>
      <c r="C211" s="244" t="s">
        <v>629</v>
      </c>
      <c r="D211" s="242">
        <v>0</v>
      </c>
      <c r="E211" s="249">
        <v>0</v>
      </c>
      <c r="F211" s="249">
        <v>0</v>
      </c>
      <c r="G211" s="249">
        <v>0</v>
      </c>
      <c r="H211" s="50">
        <f t="shared" si="9"/>
        <v>0</v>
      </c>
      <c r="I211" s="56"/>
    </row>
    <row r="212" spans="1:9" x14ac:dyDescent="0.25">
      <c r="A212" s="36">
        <v>15</v>
      </c>
      <c r="B212" s="243">
        <v>22100675</v>
      </c>
      <c r="C212" s="244" t="s">
        <v>630</v>
      </c>
      <c r="D212" s="241">
        <v>30000000</v>
      </c>
      <c r="E212" s="249">
        <v>0</v>
      </c>
      <c r="F212" s="249">
        <v>0</v>
      </c>
      <c r="G212" s="249">
        <v>0</v>
      </c>
      <c r="H212" s="50">
        <f t="shared" si="9"/>
        <v>30000000</v>
      </c>
      <c r="I212" s="56"/>
    </row>
    <row r="213" spans="1:9" ht="23.25" x14ac:dyDescent="0.25">
      <c r="A213" s="36">
        <v>16</v>
      </c>
      <c r="B213" s="243">
        <v>22100676</v>
      </c>
      <c r="C213" s="244" t="s">
        <v>631</v>
      </c>
      <c r="D213" s="241">
        <v>20000000</v>
      </c>
      <c r="E213" s="249">
        <v>0</v>
      </c>
      <c r="F213" s="249">
        <v>0</v>
      </c>
      <c r="G213" s="249">
        <v>0</v>
      </c>
      <c r="H213" s="50">
        <f t="shared" si="9"/>
        <v>20000000</v>
      </c>
      <c r="I213" s="56"/>
    </row>
    <row r="214" spans="1:9" x14ac:dyDescent="0.25">
      <c r="A214" s="33"/>
      <c r="B214" s="31"/>
      <c r="C214" s="67" t="s">
        <v>38</v>
      </c>
      <c r="D214" s="73">
        <f>SUM(D198:D213)</f>
        <v>2188000000</v>
      </c>
      <c r="E214" s="390">
        <f>SUM(E198:E213)</f>
        <v>10275000</v>
      </c>
      <c r="F214" s="73">
        <f>SUM(F198:F213)</f>
        <v>450000000</v>
      </c>
      <c r="G214" s="73">
        <f>SUM(G198:G213)</f>
        <v>6000000</v>
      </c>
      <c r="H214" s="73">
        <f>SUM(H198:H213)</f>
        <v>1744000000</v>
      </c>
      <c r="I214" s="33"/>
    </row>
    <row r="221" spans="1:9" x14ac:dyDescent="0.25">
      <c r="A221" s="628" t="s">
        <v>276</v>
      </c>
      <c r="B221" s="628"/>
      <c r="C221" s="628"/>
      <c r="D221" s="628"/>
      <c r="E221" s="628"/>
      <c r="F221" s="628"/>
      <c r="G221" s="628"/>
      <c r="H221" s="628"/>
      <c r="I221" s="628"/>
    </row>
    <row r="222" spans="1:9" x14ac:dyDescent="0.25">
      <c r="A222" s="628" t="s">
        <v>1176</v>
      </c>
      <c r="B222" s="628"/>
      <c r="C222" s="628"/>
      <c r="D222" s="628"/>
      <c r="E222" s="628"/>
      <c r="F222" s="628"/>
      <c r="G222" s="628"/>
      <c r="H222" s="628"/>
      <c r="I222" s="628"/>
    </row>
    <row r="223" spans="1:9" x14ac:dyDescent="0.25">
      <c r="A223" s="628" t="s">
        <v>34</v>
      </c>
      <c r="B223" s="628"/>
      <c r="C223" s="628"/>
      <c r="D223" s="628"/>
      <c r="E223" s="628"/>
      <c r="F223" s="628"/>
      <c r="G223" s="628"/>
      <c r="H223" s="628"/>
      <c r="I223" s="628"/>
    </row>
    <row r="224" spans="1:9" x14ac:dyDescent="0.25">
      <c r="A224" s="389"/>
      <c r="B224" s="389"/>
      <c r="C224" s="389"/>
      <c r="D224" s="389"/>
      <c r="E224" s="389"/>
      <c r="F224" s="389"/>
      <c r="G224" s="389"/>
      <c r="H224" s="389"/>
    </row>
    <row r="225" spans="1:9" x14ac:dyDescent="0.25">
      <c r="A225" s="72" t="s">
        <v>643</v>
      </c>
      <c r="B225" s="62"/>
      <c r="C225" s="62"/>
      <c r="D225" s="62"/>
      <c r="E225" s="62"/>
      <c r="F225" s="62"/>
      <c r="G225" s="62"/>
      <c r="H225" s="63"/>
    </row>
    <row r="226" spans="1:9" x14ac:dyDescent="0.25">
      <c r="A226" s="63"/>
      <c r="B226" s="389"/>
      <c r="C226" s="63"/>
      <c r="D226" s="63"/>
      <c r="E226" s="63"/>
      <c r="F226" s="63"/>
      <c r="G226" s="63"/>
      <c r="H226" s="63"/>
    </row>
    <row r="227" spans="1:9" x14ac:dyDescent="0.25">
      <c r="A227" s="64" t="s">
        <v>644</v>
      </c>
      <c r="B227" s="64"/>
      <c r="C227" s="64"/>
      <c r="D227" s="63"/>
      <c r="E227" s="63"/>
      <c r="F227" s="63"/>
      <c r="G227" s="63"/>
      <c r="H227" s="63"/>
    </row>
    <row r="228" spans="1:9" ht="36.75" x14ac:dyDescent="0.25">
      <c r="A228" s="46" t="s">
        <v>0</v>
      </c>
      <c r="B228" s="65" t="s">
        <v>35</v>
      </c>
      <c r="C228" s="65" t="s">
        <v>36</v>
      </c>
      <c r="D228" s="65" t="s">
        <v>279</v>
      </c>
      <c r="E228" s="65" t="s">
        <v>222</v>
      </c>
      <c r="F228" s="65" t="s">
        <v>273</v>
      </c>
      <c r="G228" s="66" t="s">
        <v>37</v>
      </c>
      <c r="H228" s="66" t="s">
        <v>1175</v>
      </c>
      <c r="I228" s="66" t="s">
        <v>209</v>
      </c>
    </row>
    <row r="229" spans="1:9" ht="23.25" x14ac:dyDescent="0.25">
      <c r="A229" s="36">
        <v>1</v>
      </c>
      <c r="B229" s="243">
        <v>22100221</v>
      </c>
      <c r="C229" s="244" t="s">
        <v>645</v>
      </c>
      <c r="D229" s="241">
        <v>120000000</v>
      </c>
      <c r="E229" s="249">
        <v>0</v>
      </c>
      <c r="F229" s="249">
        <v>0</v>
      </c>
      <c r="G229" s="249">
        <v>20000000</v>
      </c>
      <c r="H229" s="50">
        <f>D229+G229</f>
        <v>140000000</v>
      </c>
      <c r="I229" s="56" t="s">
        <v>208</v>
      </c>
    </row>
    <row r="230" spans="1:9" ht="23.25" x14ac:dyDescent="0.25">
      <c r="A230" s="36">
        <v>2</v>
      </c>
      <c r="B230" s="243">
        <v>22100222</v>
      </c>
      <c r="C230" s="244" t="s">
        <v>646</v>
      </c>
      <c r="D230" s="241">
        <v>80000000</v>
      </c>
      <c r="E230" s="249">
        <v>0</v>
      </c>
      <c r="F230" s="249">
        <v>0</v>
      </c>
      <c r="G230" s="249">
        <v>8000000</v>
      </c>
      <c r="H230" s="50">
        <f>D230+G230</f>
        <v>88000000</v>
      </c>
      <c r="I230" s="56" t="s">
        <v>208</v>
      </c>
    </row>
    <row r="231" spans="1:9" x14ac:dyDescent="0.25">
      <c r="A231" s="33"/>
      <c r="B231" s="31"/>
      <c r="C231" s="67" t="s">
        <v>38</v>
      </c>
      <c r="D231" s="73">
        <f>SUM(D229:D230)</f>
        <v>200000000</v>
      </c>
      <c r="E231" s="254">
        <f>SUM(E229:E230)</f>
        <v>0</v>
      </c>
      <c r="F231" s="254">
        <f>SUM(F229:F230)</f>
        <v>0</v>
      </c>
      <c r="G231" s="73">
        <f>SUM(G229:G230)</f>
        <v>28000000</v>
      </c>
      <c r="H231" s="73">
        <f>SUM(H229:H230)</f>
        <v>228000000</v>
      </c>
      <c r="I231" s="33"/>
    </row>
    <row r="253" spans="1:9" x14ac:dyDescent="0.25">
      <c r="A253" s="628" t="s">
        <v>276</v>
      </c>
      <c r="B253" s="628"/>
      <c r="C253" s="628"/>
      <c r="D253" s="628"/>
      <c r="E253" s="628"/>
      <c r="F253" s="628"/>
      <c r="G253" s="628"/>
      <c r="H253" s="628"/>
      <c r="I253" s="628"/>
    </row>
    <row r="254" spans="1:9" x14ac:dyDescent="0.25">
      <c r="A254" s="628" t="s">
        <v>1176</v>
      </c>
      <c r="B254" s="628"/>
      <c r="C254" s="628"/>
      <c r="D254" s="628"/>
      <c r="E254" s="628"/>
      <c r="F254" s="628"/>
      <c r="G254" s="628"/>
      <c r="H254" s="628"/>
      <c r="I254" s="628"/>
    </row>
    <row r="255" spans="1:9" x14ac:dyDescent="0.25">
      <c r="A255" s="628" t="s">
        <v>34</v>
      </c>
      <c r="B255" s="628"/>
      <c r="C255" s="628"/>
      <c r="D255" s="628"/>
      <c r="E255" s="628"/>
      <c r="F255" s="628"/>
      <c r="G255" s="628"/>
      <c r="H255" s="628"/>
      <c r="I255" s="628"/>
    </row>
    <row r="256" spans="1:9" x14ac:dyDescent="0.25">
      <c r="A256" s="393"/>
      <c r="B256" s="393"/>
      <c r="C256" s="393"/>
      <c r="D256" s="393"/>
      <c r="E256" s="393"/>
      <c r="F256" s="393"/>
      <c r="G256" s="393"/>
      <c r="H256" s="393"/>
    </row>
    <row r="257" spans="1:9" x14ac:dyDescent="0.25">
      <c r="A257" s="72" t="s">
        <v>728</v>
      </c>
      <c r="B257" s="62"/>
      <c r="C257" s="62"/>
      <c r="D257" s="62"/>
      <c r="E257" s="62"/>
      <c r="F257" s="62"/>
      <c r="G257" s="62"/>
      <c r="H257" s="63"/>
    </row>
    <row r="258" spans="1:9" x14ac:dyDescent="0.25">
      <c r="A258" s="63"/>
      <c r="B258" s="393"/>
      <c r="C258" s="63"/>
      <c r="D258" s="63"/>
      <c r="E258" s="63"/>
      <c r="F258" s="63"/>
      <c r="G258" s="63"/>
      <c r="H258" s="63"/>
    </row>
    <row r="259" spans="1:9" x14ac:dyDescent="0.25">
      <c r="A259" s="64" t="s">
        <v>727</v>
      </c>
      <c r="B259" s="64"/>
      <c r="C259" s="64"/>
      <c r="D259" s="63"/>
      <c r="E259" s="63"/>
      <c r="F259" s="63"/>
      <c r="G259" s="63"/>
      <c r="H259" s="63"/>
    </row>
    <row r="260" spans="1:9" ht="36.75" x14ac:dyDescent="0.25">
      <c r="A260" s="46" t="s">
        <v>0</v>
      </c>
      <c r="B260" s="65" t="s">
        <v>35</v>
      </c>
      <c r="C260" s="65" t="s">
        <v>36</v>
      </c>
      <c r="D260" s="65" t="s">
        <v>279</v>
      </c>
      <c r="E260" s="65" t="s">
        <v>222</v>
      </c>
      <c r="F260" s="65" t="s">
        <v>273</v>
      </c>
      <c r="G260" s="66" t="s">
        <v>37</v>
      </c>
      <c r="H260" s="66" t="s">
        <v>1175</v>
      </c>
      <c r="I260" s="66" t="s">
        <v>209</v>
      </c>
    </row>
    <row r="261" spans="1:9" ht="23.25" x14ac:dyDescent="0.25">
      <c r="A261" s="36">
        <v>1</v>
      </c>
      <c r="B261" s="243">
        <v>22100227</v>
      </c>
      <c r="C261" s="244" t="s">
        <v>729</v>
      </c>
      <c r="D261" s="241">
        <v>30000000</v>
      </c>
      <c r="E261" s="249" t="s">
        <v>633</v>
      </c>
      <c r="F261" s="249">
        <v>0</v>
      </c>
      <c r="G261" s="249">
        <v>0</v>
      </c>
      <c r="H261" s="50">
        <f t="shared" ref="H261:H271" si="10">D261+G261-F261</f>
        <v>30000000</v>
      </c>
      <c r="I261" s="56"/>
    </row>
    <row r="262" spans="1:9" x14ac:dyDescent="0.25">
      <c r="A262" s="36">
        <v>2</v>
      </c>
      <c r="B262" s="243">
        <v>22100228</v>
      </c>
      <c r="C262" s="244" t="s">
        <v>395</v>
      </c>
      <c r="D262" s="241">
        <v>500000000</v>
      </c>
      <c r="E262" s="249" t="s">
        <v>633</v>
      </c>
      <c r="F262" s="249">
        <v>0</v>
      </c>
      <c r="G262" s="249">
        <v>0</v>
      </c>
      <c r="H262" s="50">
        <f t="shared" si="10"/>
        <v>500000000</v>
      </c>
      <c r="I262" s="56"/>
    </row>
    <row r="263" spans="1:9" ht="23.25" x14ac:dyDescent="0.25">
      <c r="A263" s="36">
        <v>3</v>
      </c>
      <c r="B263" s="243">
        <v>22100229</v>
      </c>
      <c r="C263" s="244" t="s">
        <v>730</v>
      </c>
      <c r="D263" s="241">
        <v>5000000</v>
      </c>
      <c r="E263" s="249" t="s">
        <v>633</v>
      </c>
      <c r="F263" s="249">
        <v>0</v>
      </c>
      <c r="G263" s="249">
        <v>0</v>
      </c>
      <c r="H263" s="50">
        <f t="shared" si="10"/>
        <v>5000000</v>
      </c>
      <c r="I263" s="56"/>
    </row>
    <row r="264" spans="1:9" x14ac:dyDescent="0.25">
      <c r="A264" s="36">
        <v>4</v>
      </c>
      <c r="B264" s="243">
        <v>22100230</v>
      </c>
      <c r="C264" s="244" t="s">
        <v>731</v>
      </c>
      <c r="D264" s="241">
        <v>15000000</v>
      </c>
      <c r="E264" s="249" t="s">
        <v>633</v>
      </c>
      <c r="F264" s="249">
        <v>0</v>
      </c>
      <c r="G264" s="249">
        <v>0</v>
      </c>
      <c r="H264" s="50">
        <f t="shared" si="10"/>
        <v>15000000</v>
      </c>
      <c r="I264" s="56"/>
    </row>
    <row r="265" spans="1:9" x14ac:dyDescent="0.25">
      <c r="A265" s="36">
        <v>5</v>
      </c>
      <c r="B265" s="243">
        <v>22100231</v>
      </c>
      <c r="C265" s="244" t="s">
        <v>732</v>
      </c>
      <c r="D265" s="241">
        <v>5000000</v>
      </c>
      <c r="E265" s="249" t="s">
        <v>633</v>
      </c>
      <c r="F265" s="249">
        <v>0</v>
      </c>
      <c r="G265" s="249">
        <v>0</v>
      </c>
      <c r="H265" s="50">
        <f t="shared" si="10"/>
        <v>5000000</v>
      </c>
      <c r="I265" s="56"/>
    </row>
    <row r="266" spans="1:9" x14ac:dyDescent="0.25">
      <c r="A266" s="36">
        <v>6</v>
      </c>
      <c r="B266" s="243">
        <v>22100232</v>
      </c>
      <c r="C266" s="244" t="s">
        <v>733</v>
      </c>
      <c r="D266" s="241">
        <v>50000000</v>
      </c>
      <c r="E266" s="249" t="s">
        <v>633</v>
      </c>
      <c r="F266" s="249">
        <v>0</v>
      </c>
      <c r="G266" s="249">
        <v>0</v>
      </c>
      <c r="H266" s="50">
        <f t="shared" si="10"/>
        <v>50000000</v>
      </c>
      <c r="I266" s="56"/>
    </row>
    <row r="267" spans="1:9" ht="23.25" x14ac:dyDescent="0.25">
      <c r="A267" s="36">
        <v>7</v>
      </c>
      <c r="B267" s="243">
        <v>22100233</v>
      </c>
      <c r="C267" s="244" t="s">
        <v>466</v>
      </c>
      <c r="D267" s="241">
        <v>30000000</v>
      </c>
      <c r="E267" s="249" t="s">
        <v>633</v>
      </c>
      <c r="F267" s="249">
        <v>20000000</v>
      </c>
      <c r="G267" s="249">
        <v>0</v>
      </c>
      <c r="H267" s="50">
        <f t="shared" si="10"/>
        <v>10000000</v>
      </c>
      <c r="I267" s="56" t="s">
        <v>235</v>
      </c>
    </row>
    <row r="268" spans="1:9" x14ac:dyDescent="0.25">
      <c r="A268" s="36">
        <v>8</v>
      </c>
      <c r="B268" s="243">
        <v>22100234</v>
      </c>
      <c r="C268" s="244" t="s">
        <v>734</v>
      </c>
      <c r="D268" s="241">
        <v>10000000</v>
      </c>
      <c r="E268" s="413"/>
      <c r="F268" s="249"/>
      <c r="G268" s="249"/>
      <c r="H268" s="50">
        <f t="shared" si="10"/>
        <v>10000000</v>
      </c>
      <c r="I268" s="56"/>
    </row>
    <row r="269" spans="1:9" x14ac:dyDescent="0.25">
      <c r="A269" s="36">
        <v>9</v>
      </c>
      <c r="B269" s="243">
        <v>22100235</v>
      </c>
      <c r="C269" s="244" t="s">
        <v>305</v>
      </c>
      <c r="D269" s="241">
        <v>200000000</v>
      </c>
      <c r="E269" s="249">
        <v>0</v>
      </c>
      <c r="F269" s="249">
        <v>0</v>
      </c>
      <c r="G269" s="249">
        <v>0</v>
      </c>
      <c r="H269" s="50">
        <f t="shared" si="10"/>
        <v>200000000</v>
      </c>
      <c r="I269" s="56" t="s">
        <v>208</v>
      </c>
    </row>
    <row r="270" spans="1:9" ht="23.25" x14ac:dyDescent="0.25">
      <c r="A270" s="36">
        <v>10</v>
      </c>
      <c r="B270" s="243">
        <v>22100236</v>
      </c>
      <c r="C270" s="244" t="s">
        <v>735</v>
      </c>
      <c r="D270" s="241">
        <v>100000000</v>
      </c>
      <c r="E270" s="249">
        <v>0</v>
      </c>
      <c r="F270" s="249">
        <v>95000000</v>
      </c>
      <c r="G270" s="249">
        <v>0</v>
      </c>
      <c r="H270" s="50">
        <f t="shared" si="10"/>
        <v>5000000</v>
      </c>
      <c r="I270" s="56"/>
    </row>
    <row r="271" spans="1:9" x14ac:dyDescent="0.25">
      <c r="A271" s="33"/>
      <c r="B271" s="31"/>
      <c r="C271" s="67" t="s">
        <v>38</v>
      </c>
      <c r="D271" s="73">
        <f>SUM(D261:D270)</f>
        <v>945000000</v>
      </c>
      <c r="E271" s="414">
        <f>SUM(E261:E270)</f>
        <v>0</v>
      </c>
      <c r="F271" s="254">
        <f>SUM(F261:F270)</f>
        <v>115000000</v>
      </c>
      <c r="G271" s="254">
        <f>SUM(G261:G270)</f>
        <v>0</v>
      </c>
      <c r="H271" s="50">
        <f t="shared" si="10"/>
        <v>830000000</v>
      </c>
      <c r="I271" s="33"/>
    </row>
    <row r="284" spans="1:9" x14ac:dyDescent="0.25">
      <c r="A284" s="628" t="s">
        <v>276</v>
      </c>
      <c r="B284" s="628"/>
      <c r="C284" s="628"/>
      <c r="D284" s="628"/>
      <c r="E284" s="628"/>
      <c r="F284" s="628"/>
      <c r="G284" s="628"/>
      <c r="H284" s="628"/>
      <c r="I284" s="628"/>
    </row>
    <row r="285" spans="1:9" x14ac:dyDescent="0.25">
      <c r="A285" s="628" t="s">
        <v>1176</v>
      </c>
      <c r="B285" s="628"/>
      <c r="C285" s="628"/>
      <c r="D285" s="628"/>
      <c r="E285" s="628"/>
      <c r="F285" s="628"/>
      <c r="G285" s="628"/>
      <c r="H285" s="628"/>
      <c r="I285" s="628"/>
    </row>
    <row r="286" spans="1:9" x14ac:dyDescent="0.25">
      <c r="A286" s="628" t="s">
        <v>34</v>
      </c>
      <c r="B286" s="628"/>
      <c r="C286" s="628"/>
      <c r="D286" s="628"/>
      <c r="E286" s="628"/>
      <c r="F286" s="628"/>
      <c r="G286" s="628"/>
      <c r="H286" s="628"/>
      <c r="I286" s="628"/>
    </row>
    <row r="287" spans="1:9" x14ac:dyDescent="0.25">
      <c r="A287" s="393"/>
      <c r="B287" s="393"/>
      <c r="C287" s="393"/>
      <c r="D287" s="393"/>
      <c r="E287" s="393"/>
      <c r="F287" s="393"/>
      <c r="G287" s="393"/>
      <c r="H287" s="393"/>
    </row>
    <row r="288" spans="1:9" x14ac:dyDescent="0.25">
      <c r="A288" s="72" t="s">
        <v>743</v>
      </c>
      <c r="B288" s="62"/>
      <c r="C288" s="62"/>
      <c r="D288" s="62"/>
      <c r="E288" s="62"/>
      <c r="F288" s="62"/>
      <c r="G288" s="62"/>
      <c r="H288" s="63"/>
    </row>
    <row r="289" spans="1:9" x14ac:dyDescent="0.25">
      <c r="A289" s="63"/>
      <c r="B289" s="393"/>
      <c r="C289" s="63"/>
      <c r="D289" s="63"/>
      <c r="E289" s="63"/>
      <c r="F289" s="63"/>
      <c r="G289" s="63"/>
      <c r="H289" s="63"/>
    </row>
    <row r="290" spans="1:9" x14ac:dyDescent="0.25">
      <c r="A290" s="64" t="s">
        <v>744</v>
      </c>
      <c r="B290" s="64"/>
      <c r="C290" s="64"/>
      <c r="D290" s="63"/>
      <c r="E290" s="63"/>
      <c r="F290" s="63"/>
      <c r="G290" s="63"/>
      <c r="H290" s="63"/>
    </row>
    <row r="291" spans="1:9" ht="36.75" x14ac:dyDescent="0.25">
      <c r="A291" s="46" t="s">
        <v>0</v>
      </c>
      <c r="B291" s="65" t="s">
        <v>35</v>
      </c>
      <c r="C291" s="65" t="s">
        <v>36</v>
      </c>
      <c r="D291" s="65" t="s">
        <v>279</v>
      </c>
      <c r="E291" s="65" t="s">
        <v>222</v>
      </c>
      <c r="F291" s="65" t="s">
        <v>273</v>
      </c>
      <c r="G291" s="66" t="s">
        <v>37</v>
      </c>
      <c r="H291" s="66" t="s">
        <v>1175</v>
      </c>
      <c r="I291" s="66" t="s">
        <v>209</v>
      </c>
    </row>
    <row r="292" spans="1:9" ht="23.25" x14ac:dyDescent="0.25">
      <c r="A292" s="36">
        <v>1</v>
      </c>
      <c r="B292" s="243">
        <v>22100249</v>
      </c>
      <c r="C292" s="244" t="s">
        <v>737</v>
      </c>
      <c r="D292" s="241">
        <v>1500000</v>
      </c>
      <c r="E292" s="249">
        <v>0</v>
      </c>
      <c r="F292" s="249">
        <v>0</v>
      </c>
      <c r="G292" s="249">
        <v>0</v>
      </c>
      <c r="H292" s="50">
        <f>D292+G292</f>
        <v>1500000</v>
      </c>
      <c r="I292" s="56" t="s">
        <v>208</v>
      </c>
    </row>
    <row r="293" spans="1:9" ht="23.25" x14ac:dyDescent="0.25">
      <c r="A293" s="36">
        <v>2</v>
      </c>
      <c r="B293" s="243">
        <v>22100250</v>
      </c>
      <c r="C293" s="244" t="s">
        <v>738</v>
      </c>
      <c r="D293" s="241">
        <v>500000</v>
      </c>
      <c r="E293" s="249" t="s">
        <v>633</v>
      </c>
      <c r="F293" s="249">
        <v>0</v>
      </c>
      <c r="G293" s="249">
        <v>0</v>
      </c>
      <c r="H293" s="50">
        <f>D293+G293</f>
        <v>500000</v>
      </c>
      <c r="I293" s="56" t="s">
        <v>208</v>
      </c>
    </row>
    <row r="294" spans="1:9" x14ac:dyDescent="0.25">
      <c r="A294" s="36">
        <v>3</v>
      </c>
      <c r="B294" s="243">
        <v>22100681</v>
      </c>
      <c r="C294" s="417" t="s">
        <v>739</v>
      </c>
      <c r="D294" s="418">
        <v>0</v>
      </c>
      <c r="E294" s="419">
        <v>4334000</v>
      </c>
      <c r="F294" s="419">
        <v>0</v>
      </c>
      <c r="G294" s="419">
        <v>4334000</v>
      </c>
      <c r="H294" s="248">
        <f>D294+G294</f>
        <v>4334000</v>
      </c>
      <c r="I294" s="420" t="s">
        <v>605</v>
      </c>
    </row>
    <row r="295" spans="1:9" x14ac:dyDescent="0.25">
      <c r="A295" s="33"/>
      <c r="B295" s="31"/>
      <c r="C295" s="67" t="s">
        <v>38</v>
      </c>
      <c r="D295" s="73">
        <f t="shared" ref="D295:G295" si="11">SUM(D292:D294)</f>
        <v>2000000</v>
      </c>
      <c r="E295" s="73">
        <f t="shared" si="11"/>
        <v>4334000</v>
      </c>
      <c r="F295" s="254">
        <f t="shared" si="11"/>
        <v>0</v>
      </c>
      <c r="G295" s="73">
        <f t="shared" si="11"/>
        <v>4334000</v>
      </c>
      <c r="H295" s="73">
        <f>SUM(H292:H294)</f>
        <v>6334000</v>
      </c>
      <c r="I295" s="416"/>
    </row>
    <row r="316" spans="1:9" x14ac:dyDescent="0.25">
      <c r="A316" s="628" t="s">
        <v>276</v>
      </c>
      <c r="B316" s="628"/>
      <c r="C316" s="628"/>
      <c r="D316" s="628"/>
      <c r="E316" s="628"/>
      <c r="F316" s="628"/>
      <c r="G316" s="628"/>
      <c r="H316" s="628"/>
      <c r="I316" s="628"/>
    </row>
    <row r="317" spans="1:9" x14ac:dyDescent="0.25">
      <c r="A317" s="628" t="s">
        <v>1176</v>
      </c>
      <c r="B317" s="628"/>
      <c r="C317" s="628"/>
      <c r="D317" s="628"/>
      <c r="E317" s="628"/>
      <c r="F317" s="628"/>
      <c r="G317" s="628"/>
      <c r="H317" s="628"/>
      <c r="I317" s="628"/>
    </row>
    <row r="318" spans="1:9" x14ac:dyDescent="0.25">
      <c r="A318" s="628" t="s">
        <v>34</v>
      </c>
      <c r="B318" s="628"/>
      <c r="C318" s="628"/>
      <c r="D318" s="628"/>
      <c r="E318" s="628"/>
      <c r="F318" s="628"/>
      <c r="G318" s="628"/>
      <c r="H318" s="628"/>
      <c r="I318" s="628"/>
    </row>
    <row r="319" spans="1:9" x14ac:dyDescent="0.25">
      <c r="A319" s="265"/>
      <c r="B319" s="265"/>
      <c r="C319" s="265"/>
      <c r="D319" s="265"/>
      <c r="E319" s="265"/>
      <c r="F319" s="265"/>
      <c r="G319" s="265"/>
      <c r="H319" s="265"/>
    </row>
    <row r="320" spans="1:9" x14ac:dyDescent="0.25">
      <c r="A320" s="72" t="s">
        <v>408</v>
      </c>
      <c r="B320" s="62"/>
      <c r="C320" s="62"/>
      <c r="D320" s="62"/>
      <c r="E320" s="62"/>
      <c r="F320" s="62"/>
      <c r="G320" s="62"/>
      <c r="H320" s="63"/>
    </row>
    <row r="321" spans="1:9" x14ac:dyDescent="0.25">
      <c r="A321" s="63"/>
      <c r="B321" s="265"/>
      <c r="C321" s="63"/>
      <c r="D321" s="63"/>
      <c r="E321" s="63"/>
      <c r="F321" s="63"/>
      <c r="G321" s="63"/>
      <c r="H321" s="63"/>
    </row>
    <row r="322" spans="1:9" x14ac:dyDescent="0.25">
      <c r="A322" s="64" t="s">
        <v>410</v>
      </c>
      <c r="B322" s="64"/>
      <c r="C322" s="64"/>
      <c r="D322" s="63"/>
      <c r="E322" s="63"/>
      <c r="F322" s="63"/>
      <c r="G322" s="63"/>
      <c r="H322" s="63"/>
    </row>
    <row r="323" spans="1:9" ht="36.75" x14ac:dyDescent="0.25">
      <c r="A323" s="46" t="s">
        <v>0</v>
      </c>
      <c r="B323" s="65" t="s">
        <v>35</v>
      </c>
      <c r="C323" s="65" t="s">
        <v>36</v>
      </c>
      <c r="D323" s="65" t="s">
        <v>279</v>
      </c>
      <c r="E323" s="65" t="s">
        <v>222</v>
      </c>
      <c r="F323" s="65" t="s">
        <v>273</v>
      </c>
      <c r="G323" s="66" t="s">
        <v>37</v>
      </c>
      <c r="H323" s="66" t="s">
        <v>1175</v>
      </c>
      <c r="I323" s="66" t="s">
        <v>209</v>
      </c>
    </row>
    <row r="324" spans="1:9" x14ac:dyDescent="0.25">
      <c r="A324" s="36">
        <v>1</v>
      </c>
      <c r="B324" s="243">
        <v>22100251</v>
      </c>
      <c r="C324" s="244" t="s">
        <v>291</v>
      </c>
      <c r="D324" s="241">
        <v>3000000</v>
      </c>
      <c r="E324" s="249">
        <v>2859990</v>
      </c>
      <c r="F324" s="249">
        <v>0</v>
      </c>
      <c r="G324" s="249">
        <v>5000000</v>
      </c>
      <c r="H324" s="50">
        <f>D324+G324</f>
        <v>8000000</v>
      </c>
      <c r="I324" s="56" t="s">
        <v>208</v>
      </c>
    </row>
    <row r="325" spans="1:9" x14ac:dyDescent="0.25">
      <c r="A325" s="36">
        <v>2</v>
      </c>
      <c r="B325" s="243">
        <v>22100252</v>
      </c>
      <c r="C325" s="244" t="s">
        <v>347</v>
      </c>
      <c r="D325" s="241">
        <v>3000000</v>
      </c>
      <c r="E325" s="249">
        <v>2991000</v>
      </c>
      <c r="F325" s="249">
        <v>0</v>
      </c>
      <c r="G325" s="249">
        <v>5000000</v>
      </c>
      <c r="H325" s="50">
        <f>D325+G325</f>
        <v>8000000</v>
      </c>
      <c r="I325" s="56" t="s">
        <v>208</v>
      </c>
    </row>
    <row r="326" spans="1:9" x14ac:dyDescent="0.25">
      <c r="A326" s="36">
        <v>3</v>
      </c>
      <c r="B326" s="243">
        <v>22100253</v>
      </c>
      <c r="C326" s="244" t="s">
        <v>292</v>
      </c>
      <c r="D326" s="241">
        <v>6000000</v>
      </c>
      <c r="E326" s="249">
        <v>0</v>
      </c>
      <c r="F326" s="249">
        <v>0</v>
      </c>
      <c r="G326" s="249">
        <v>0</v>
      </c>
      <c r="H326" s="50">
        <f>D326+G326</f>
        <v>6000000</v>
      </c>
      <c r="I326" s="56"/>
    </row>
    <row r="327" spans="1:9" x14ac:dyDescent="0.25">
      <c r="A327" s="36">
        <v>4</v>
      </c>
      <c r="B327" s="243">
        <v>22100254</v>
      </c>
      <c r="C327" s="244" t="s">
        <v>407</v>
      </c>
      <c r="D327" s="241">
        <v>3000000</v>
      </c>
      <c r="E327" s="249">
        <v>2286000</v>
      </c>
      <c r="F327" s="249">
        <v>0</v>
      </c>
      <c r="G327" s="249">
        <v>1000000</v>
      </c>
      <c r="H327" s="50">
        <f>D327+G327</f>
        <v>4000000</v>
      </c>
      <c r="I327" s="56" t="s">
        <v>208</v>
      </c>
    </row>
    <row r="328" spans="1:9" x14ac:dyDescent="0.25">
      <c r="A328" s="33"/>
      <c r="B328" s="31"/>
      <c r="C328" s="67" t="s">
        <v>38</v>
      </c>
      <c r="D328" s="73">
        <f>SUM(D324:D327)</f>
        <v>15000000</v>
      </c>
      <c r="E328" s="73">
        <f>SUM(E324:E327)</f>
        <v>8136990</v>
      </c>
      <c r="F328" s="73">
        <f>SUM(F324:F327)</f>
        <v>0</v>
      </c>
      <c r="G328" s="73">
        <f>SUM(G324:G327)</f>
        <v>11000000</v>
      </c>
      <c r="H328" s="73">
        <f>SUM(H324:H327)</f>
        <v>26000000</v>
      </c>
      <c r="I328" s="33"/>
    </row>
    <row r="349" spans="1:9" x14ac:dyDescent="0.25">
      <c r="A349" s="628" t="s">
        <v>276</v>
      </c>
      <c r="B349" s="628"/>
      <c r="C349" s="628"/>
      <c r="D349" s="628"/>
      <c r="E349" s="628"/>
      <c r="F349" s="628"/>
      <c r="G349" s="628"/>
      <c r="H349" s="628"/>
      <c r="I349" s="628"/>
    </row>
    <row r="350" spans="1:9" x14ac:dyDescent="0.25">
      <c r="A350" s="628" t="s">
        <v>1176</v>
      </c>
      <c r="B350" s="628"/>
      <c r="C350" s="628"/>
      <c r="D350" s="628"/>
      <c r="E350" s="628"/>
      <c r="F350" s="628"/>
      <c r="G350" s="628"/>
      <c r="H350" s="628"/>
      <c r="I350" s="628"/>
    </row>
    <row r="351" spans="1:9" x14ac:dyDescent="0.25">
      <c r="A351" s="628" t="s">
        <v>34</v>
      </c>
      <c r="B351" s="628"/>
      <c r="C351" s="628"/>
      <c r="D351" s="628"/>
      <c r="E351" s="628"/>
      <c r="F351" s="628"/>
      <c r="G351" s="628"/>
      <c r="H351" s="628"/>
      <c r="I351" s="628"/>
    </row>
    <row r="352" spans="1:9" x14ac:dyDescent="0.25">
      <c r="A352" s="265"/>
      <c r="B352" s="265"/>
      <c r="C352" s="265"/>
      <c r="D352" s="265"/>
      <c r="E352" s="265"/>
      <c r="F352" s="265"/>
      <c r="G352" s="265"/>
      <c r="H352" s="265"/>
    </row>
    <row r="353" spans="1:9" x14ac:dyDescent="0.25">
      <c r="A353" s="72" t="s">
        <v>411</v>
      </c>
      <c r="B353" s="62"/>
      <c r="C353" s="62"/>
      <c r="D353" s="62"/>
      <c r="E353" s="62"/>
      <c r="F353" s="62"/>
      <c r="G353" s="62"/>
      <c r="H353" s="63"/>
    </row>
    <row r="354" spans="1:9" x14ac:dyDescent="0.25">
      <c r="A354" s="63"/>
      <c r="B354" s="265"/>
      <c r="C354" s="63"/>
      <c r="D354" s="63"/>
      <c r="E354" s="63"/>
      <c r="F354" s="63"/>
      <c r="G354" s="63"/>
      <c r="H354" s="63"/>
    </row>
    <row r="355" spans="1:9" x14ac:dyDescent="0.25">
      <c r="A355" s="64" t="s">
        <v>409</v>
      </c>
      <c r="B355" s="64"/>
      <c r="C355" s="64"/>
      <c r="D355" s="63"/>
      <c r="E355" s="63"/>
      <c r="F355" s="63"/>
      <c r="G355" s="63"/>
      <c r="H355" s="63"/>
    </row>
    <row r="356" spans="1:9" ht="36.75" x14ac:dyDescent="0.25">
      <c r="A356" s="46" t="s">
        <v>0</v>
      </c>
      <c r="B356" s="65" t="s">
        <v>35</v>
      </c>
      <c r="C356" s="65" t="s">
        <v>36</v>
      </c>
      <c r="D356" s="65" t="s">
        <v>279</v>
      </c>
      <c r="E356" s="65" t="s">
        <v>222</v>
      </c>
      <c r="F356" s="65" t="s">
        <v>273</v>
      </c>
      <c r="G356" s="66" t="s">
        <v>37</v>
      </c>
      <c r="H356" s="66" t="s">
        <v>1175</v>
      </c>
      <c r="I356" s="66" t="s">
        <v>209</v>
      </c>
    </row>
    <row r="357" spans="1:9" ht="23.25" x14ac:dyDescent="0.25">
      <c r="A357" s="36">
        <v>1</v>
      </c>
      <c r="B357" s="243">
        <v>22100207</v>
      </c>
      <c r="C357" s="244" t="s">
        <v>394</v>
      </c>
      <c r="D357" s="241">
        <v>1000000</v>
      </c>
      <c r="E357" s="249">
        <v>952000</v>
      </c>
      <c r="F357" s="249">
        <v>0</v>
      </c>
      <c r="G357" s="249">
        <v>1000000</v>
      </c>
      <c r="H357" s="50">
        <f>D357+G357</f>
        <v>2000000</v>
      </c>
      <c r="I357" s="56" t="s">
        <v>208</v>
      </c>
    </row>
    <row r="358" spans="1:9" x14ac:dyDescent="0.25">
      <c r="A358" s="36">
        <v>2</v>
      </c>
      <c r="B358" s="243">
        <v>22100255</v>
      </c>
      <c r="C358" s="244" t="s">
        <v>412</v>
      </c>
      <c r="D358" s="241">
        <v>33800000</v>
      </c>
      <c r="E358" s="249">
        <v>0</v>
      </c>
      <c r="F358" s="249">
        <v>0</v>
      </c>
      <c r="G358" s="249">
        <v>0</v>
      </c>
      <c r="H358" s="50">
        <f>D358+G358</f>
        <v>33800000</v>
      </c>
      <c r="I358" s="56"/>
    </row>
    <row r="359" spans="1:9" ht="23.25" x14ac:dyDescent="0.25">
      <c r="A359" s="36">
        <v>3</v>
      </c>
      <c r="B359" s="243">
        <v>22100256</v>
      </c>
      <c r="C359" s="244" t="s">
        <v>413</v>
      </c>
      <c r="D359" s="241">
        <v>4000000</v>
      </c>
      <c r="E359" s="249">
        <v>0</v>
      </c>
      <c r="F359" s="249">
        <v>0</v>
      </c>
      <c r="G359" s="249">
        <v>0</v>
      </c>
      <c r="H359" s="50">
        <f>D359+G359</f>
        <v>4000000</v>
      </c>
      <c r="I359" s="56"/>
    </row>
    <row r="360" spans="1:9" x14ac:dyDescent="0.25">
      <c r="A360" s="36">
        <v>4</v>
      </c>
      <c r="B360" s="243">
        <v>22100257</v>
      </c>
      <c r="C360" s="244" t="s">
        <v>293</v>
      </c>
      <c r="D360" s="241">
        <v>1200000</v>
      </c>
      <c r="E360" s="249">
        <v>0</v>
      </c>
      <c r="F360" s="249">
        <v>0</v>
      </c>
      <c r="G360" s="249">
        <v>0</v>
      </c>
      <c r="H360" s="50">
        <f>D360+G360</f>
        <v>1200000</v>
      </c>
      <c r="I360" s="56"/>
    </row>
    <row r="361" spans="1:9" x14ac:dyDescent="0.25">
      <c r="A361" s="33"/>
      <c r="B361" s="31"/>
      <c r="C361" s="67" t="s">
        <v>38</v>
      </c>
      <c r="D361" s="73">
        <f>SUM(D357:D360)</f>
        <v>40000000</v>
      </c>
      <c r="E361" s="73">
        <f>SUM(E357:E360)</f>
        <v>952000</v>
      </c>
      <c r="F361" s="254">
        <f>SUM(F357:F360)</f>
        <v>0</v>
      </c>
      <c r="G361" s="73">
        <f>SUM(G357:G360)</f>
        <v>1000000</v>
      </c>
      <c r="H361" s="73">
        <f>SUM(H357:H360)</f>
        <v>41000000</v>
      </c>
      <c r="I361" s="33"/>
    </row>
    <row r="381" spans="1:9" x14ac:dyDescent="0.25">
      <c r="A381" s="628" t="s">
        <v>276</v>
      </c>
      <c r="B381" s="628"/>
      <c r="C381" s="628"/>
      <c r="D381" s="628"/>
      <c r="E381" s="628"/>
      <c r="F381" s="628"/>
      <c r="G381" s="628"/>
      <c r="H381" s="628"/>
      <c r="I381" s="628"/>
    </row>
    <row r="382" spans="1:9" x14ac:dyDescent="0.25">
      <c r="A382" s="628" t="s">
        <v>1176</v>
      </c>
      <c r="B382" s="628"/>
      <c r="C382" s="628"/>
      <c r="D382" s="628"/>
      <c r="E382" s="628"/>
      <c r="F382" s="628"/>
      <c r="G382" s="628"/>
      <c r="H382" s="628"/>
      <c r="I382" s="628"/>
    </row>
    <row r="383" spans="1:9" x14ac:dyDescent="0.25">
      <c r="A383" s="628" t="s">
        <v>34</v>
      </c>
      <c r="B383" s="628"/>
      <c r="C383" s="628"/>
      <c r="D383" s="628"/>
      <c r="E383" s="628"/>
      <c r="F383" s="628"/>
      <c r="G383" s="628"/>
      <c r="H383" s="628"/>
      <c r="I383" s="628"/>
    </row>
    <row r="384" spans="1:9" x14ac:dyDescent="0.25">
      <c r="A384" s="393"/>
      <c r="B384" s="393"/>
      <c r="C384" s="393"/>
      <c r="D384" s="393"/>
      <c r="E384" s="393"/>
      <c r="F384" s="393"/>
      <c r="G384" s="393"/>
      <c r="H384" s="393"/>
    </row>
    <row r="385" spans="1:9" x14ac:dyDescent="0.25">
      <c r="A385" s="72" t="s">
        <v>1145</v>
      </c>
      <c r="B385" s="62"/>
      <c r="C385" s="62"/>
      <c r="D385" s="62"/>
      <c r="E385" s="62"/>
      <c r="F385" s="62"/>
      <c r="G385" s="62"/>
      <c r="H385" s="63"/>
    </row>
    <row r="386" spans="1:9" x14ac:dyDescent="0.25">
      <c r="A386" s="63"/>
      <c r="B386" s="393"/>
      <c r="C386" s="63"/>
      <c r="D386" s="63"/>
      <c r="E386" s="63"/>
      <c r="F386" s="63"/>
      <c r="G386" s="63"/>
      <c r="H386" s="63"/>
    </row>
    <row r="387" spans="1:9" x14ac:dyDescent="0.25">
      <c r="A387" s="64" t="s">
        <v>1141</v>
      </c>
      <c r="B387" s="64"/>
      <c r="C387" s="64"/>
      <c r="D387" s="63"/>
      <c r="E387" s="63"/>
      <c r="F387" s="63"/>
      <c r="G387" s="63"/>
      <c r="H387" s="63"/>
    </row>
    <row r="388" spans="1:9" ht="36.75" x14ac:dyDescent="0.25">
      <c r="A388" s="46" t="s">
        <v>0</v>
      </c>
      <c r="B388" s="65" t="s">
        <v>35</v>
      </c>
      <c r="C388" s="65" t="s">
        <v>36</v>
      </c>
      <c r="D388" s="65" t="s">
        <v>279</v>
      </c>
      <c r="E388" s="65" t="s">
        <v>222</v>
      </c>
      <c r="F388" s="65" t="s">
        <v>273</v>
      </c>
      <c r="G388" s="65" t="s">
        <v>37</v>
      </c>
      <c r="H388" s="65" t="s">
        <v>1175</v>
      </c>
      <c r="I388" s="65" t="s">
        <v>209</v>
      </c>
    </row>
    <row r="389" spans="1:9" x14ac:dyDescent="0.25">
      <c r="A389" s="476">
        <v>1</v>
      </c>
      <c r="B389" s="243">
        <v>22100202</v>
      </c>
      <c r="C389" s="244" t="s">
        <v>621</v>
      </c>
      <c r="D389" s="241">
        <v>20000000</v>
      </c>
      <c r="E389" s="155"/>
      <c r="F389" s="155"/>
      <c r="G389" s="155"/>
      <c r="H389" s="50">
        <f t="shared" ref="H389:H405" si="12">D389+G389-F389</f>
        <v>20000000</v>
      </c>
      <c r="I389" s="56"/>
    </row>
    <row r="390" spans="1:9" x14ac:dyDescent="0.25">
      <c r="A390" s="476">
        <v>2</v>
      </c>
      <c r="B390" s="243">
        <v>22100206</v>
      </c>
      <c r="C390" s="244" t="s">
        <v>624</v>
      </c>
      <c r="D390" s="241">
        <v>50000000</v>
      </c>
      <c r="E390" s="155">
        <v>0</v>
      </c>
      <c r="F390" s="155">
        <v>0</v>
      </c>
      <c r="G390" s="155">
        <v>0</v>
      </c>
      <c r="H390" s="50">
        <f t="shared" si="12"/>
        <v>50000000</v>
      </c>
      <c r="I390" s="56"/>
    </row>
    <row r="391" spans="1:9" ht="23.25" x14ac:dyDescent="0.25">
      <c r="A391" s="476">
        <v>3</v>
      </c>
      <c r="B391" s="243">
        <v>22100207</v>
      </c>
      <c r="C391" s="244" t="s">
        <v>394</v>
      </c>
      <c r="D391" s="241">
        <v>120000000</v>
      </c>
      <c r="E391" s="155">
        <v>0</v>
      </c>
      <c r="F391" s="155">
        <v>0</v>
      </c>
      <c r="G391" s="155">
        <v>0</v>
      </c>
      <c r="H391" s="50">
        <f t="shared" si="12"/>
        <v>120000000</v>
      </c>
      <c r="I391" s="56"/>
    </row>
    <row r="392" spans="1:9" x14ac:dyDescent="0.25">
      <c r="A392" s="476">
        <v>4</v>
      </c>
      <c r="B392" s="243">
        <v>22100214</v>
      </c>
      <c r="C392" s="244" t="s">
        <v>1051</v>
      </c>
      <c r="D392" s="241">
        <v>24000000</v>
      </c>
      <c r="E392" s="155">
        <v>0</v>
      </c>
      <c r="F392" s="155">
        <v>0</v>
      </c>
      <c r="G392" s="155">
        <v>0</v>
      </c>
      <c r="H392" s="50">
        <f t="shared" si="12"/>
        <v>24000000</v>
      </c>
      <c r="I392" s="56"/>
    </row>
    <row r="393" spans="1:9" x14ac:dyDescent="0.25">
      <c r="A393" s="476">
        <v>5</v>
      </c>
      <c r="B393" s="243">
        <v>22100228</v>
      </c>
      <c r="C393" s="244" t="s">
        <v>395</v>
      </c>
      <c r="D393" s="241">
        <v>360000000</v>
      </c>
      <c r="E393" s="396"/>
      <c r="F393" s="396">
        <v>260000000</v>
      </c>
      <c r="G393" s="396"/>
      <c r="H393" s="50">
        <f t="shared" si="12"/>
        <v>100000000</v>
      </c>
      <c r="I393" s="423" t="s">
        <v>235</v>
      </c>
    </row>
    <row r="394" spans="1:9" x14ac:dyDescent="0.25">
      <c r="A394" s="476">
        <v>6</v>
      </c>
      <c r="B394" s="243">
        <v>22100267</v>
      </c>
      <c r="C394" s="244" t="s">
        <v>1052</v>
      </c>
      <c r="D394" s="241">
        <v>15000000</v>
      </c>
      <c r="E394" s="483"/>
      <c r="F394" s="483"/>
      <c r="G394" s="483"/>
      <c r="H394" s="50">
        <f t="shared" si="12"/>
        <v>15000000</v>
      </c>
      <c r="I394" s="33"/>
    </row>
    <row r="395" spans="1:9" ht="23.25" x14ac:dyDescent="0.25">
      <c r="A395" s="476">
        <v>7</v>
      </c>
      <c r="B395" s="243">
        <v>22100268</v>
      </c>
      <c r="C395" s="244" t="s">
        <v>1053</v>
      </c>
      <c r="D395" s="241">
        <v>20000000</v>
      </c>
      <c r="E395" s="483"/>
      <c r="F395" s="483"/>
      <c r="G395" s="483"/>
      <c r="H395" s="50">
        <f t="shared" si="12"/>
        <v>20000000</v>
      </c>
      <c r="I395" s="33"/>
    </row>
    <row r="396" spans="1:9" x14ac:dyDescent="0.25">
      <c r="A396" s="476">
        <v>8</v>
      </c>
      <c r="B396" s="243">
        <v>22100269</v>
      </c>
      <c r="C396" s="244" t="s">
        <v>1054</v>
      </c>
      <c r="D396" s="241">
        <v>70000000</v>
      </c>
      <c r="E396" s="483"/>
      <c r="F396" s="483"/>
      <c r="G396" s="483"/>
      <c r="H396" s="50">
        <f t="shared" si="12"/>
        <v>70000000</v>
      </c>
      <c r="I396" s="33"/>
    </row>
    <row r="397" spans="1:9" ht="23.25" x14ac:dyDescent="0.25">
      <c r="A397" s="476">
        <v>9</v>
      </c>
      <c r="B397" s="243">
        <v>22100270</v>
      </c>
      <c r="C397" s="244" t="s">
        <v>1055</v>
      </c>
      <c r="D397" s="241">
        <v>125000000</v>
      </c>
      <c r="E397" s="483"/>
      <c r="F397" s="483"/>
      <c r="G397" s="483"/>
      <c r="H397" s="50">
        <f t="shared" si="12"/>
        <v>125000000</v>
      </c>
      <c r="I397" s="33"/>
    </row>
    <row r="398" spans="1:9" ht="23.25" x14ac:dyDescent="0.25">
      <c r="A398" s="476">
        <v>10</v>
      </c>
      <c r="B398" s="243">
        <v>22100271</v>
      </c>
      <c r="C398" s="244" t="s">
        <v>665</v>
      </c>
      <c r="D398" s="241">
        <v>24000000</v>
      </c>
      <c r="E398" s="483"/>
      <c r="F398" s="483"/>
      <c r="G398" s="483"/>
      <c r="H398" s="50">
        <f t="shared" si="12"/>
        <v>24000000</v>
      </c>
      <c r="I398" s="33"/>
    </row>
    <row r="399" spans="1:9" x14ac:dyDescent="0.25">
      <c r="A399" s="476">
        <v>11</v>
      </c>
      <c r="B399" s="243">
        <v>22100272</v>
      </c>
      <c r="C399" s="244" t="s">
        <v>1056</v>
      </c>
      <c r="D399" s="241">
        <v>10000000</v>
      </c>
      <c r="E399" s="483"/>
      <c r="F399" s="483"/>
      <c r="G399" s="483"/>
      <c r="H399" s="50">
        <f t="shared" si="12"/>
        <v>10000000</v>
      </c>
      <c r="I399" s="33"/>
    </row>
    <row r="400" spans="1:9" x14ac:dyDescent="0.25">
      <c r="A400" s="476">
        <v>12</v>
      </c>
      <c r="B400" s="243">
        <v>22100273</v>
      </c>
      <c r="C400" s="244" t="s">
        <v>1057</v>
      </c>
      <c r="D400" s="241">
        <v>20000000</v>
      </c>
      <c r="E400" s="483"/>
      <c r="F400" s="483"/>
      <c r="G400" s="483"/>
      <c r="H400" s="50">
        <f t="shared" si="12"/>
        <v>20000000</v>
      </c>
      <c r="I400" s="33"/>
    </row>
    <row r="401" spans="1:9" ht="23.25" x14ac:dyDescent="0.25">
      <c r="A401" s="476">
        <v>13</v>
      </c>
      <c r="B401" s="243">
        <v>22100274</v>
      </c>
      <c r="C401" s="244" t="s">
        <v>1058</v>
      </c>
      <c r="D401" s="241">
        <v>100000000</v>
      </c>
      <c r="E401" s="483"/>
      <c r="F401" s="483"/>
      <c r="G401" s="483"/>
      <c r="H401" s="50">
        <f t="shared" si="12"/>
        <v>100000000</v>
      </c>
      <c r="I401" s="33"/>
    </row>
    <row r="402" spans="1:9" ht="34.5" x14ac:dyDescent="0.25">
      <c r="A402" s="476">
        <v>14</v>
      </c>
      <c r="B402" s="243">
        <v>22100275</v>
      </c>
      <c r="C402" s="244" t="s">
        <v>1059</v>
      </c>
      <c r="D402" s="241">
        <v>40000000</v>
      </c>
      <c r="E402" s="483"/>
      <c r="F402" s="483"/>
      <c r="G402" s="483"/>
      <c r="H402" s="50">
        <f t="shared" si="12"/>
        <v>40000000</v>
      </c>
      <c r="I402" s="33"/>
    </row>
    <row r="403" spans="1:9" ht="34.5" x14ac:dyDescent="0.25">
      <c r="A403" s="476">
        <v>15</v>
      </c>
      <c r="B403" s="243">
        <v>22100276</v>
      </c>
      <c r="C403" s="244" t="s">
        <v>1060</v>
      </c>
      <c r="D403" s="241">
        <v>20000000</v>
      </c>
      <c r="E403" s="483"/>
      <c r="F403" s="483"/>
      <c r="G403" s="483"/>
      <c r="H403" s="50">
        <f t="shared" si="12"/>
        <v>20000000</v>
      </c>
      <c r="I403" s="33"/>
    </row>
    <row r="404" spans="1:9" x14ac:dyDescent="0.25">
      <c r="A404" s="476">
        <v>16</v>
      </c>
      <c r="B404" s="243">
        <v>22100277</v>
      </c>
      <c r="C404" s="244" t="s">
        <v>1061</v>
      </c>
      <c r="D404" s="241">
        <v>45000000</v>
      </c>
      <c r="E404" s="483"/>
      <c r="F404" s="483"/>
      <c r="G404" s="483"/>
      <c r="H404" s="50">
        <f t="shared" si="12"/>
        <v>45000000</v>
      </c>
      <c r="I404" s="33"/>
    </row>
    <row r="405" spans="1:9" x14ac:dyDescent="0.25">
      <c r="A405" s="36">
        <v>17</v>
      </c>
      <c r="B405" s="243">
        <v>22100278</v>
      </c>
      <c r="C405" s="244" t="s">
        <v>1062</v>
      </c>
      <c r="D405" s="241">
        <v>20000000</v>
      </c>
      <c r="E405" s="483"/>
      <c r="F405" s="483"/>
      <c r="G405" s="483"/>
      <c r="H405" s="50">
        <f t="shared" si="12"/>
        <v>20000000</v>
      </c>
      <c r="I405" s="33"/>
    </row>
    <row r="406" spans="1:9" x14ac:dyDescent="0.25">
      <c r="A406" s="39"/>
      <c r="B406" s="434"/>
      <c r="C406" s="435"/>
      <c r="D406" s="436"/>
      <c r="E406" s="484"/>
      <c r="F406" s="484"/>
      <c r="G406" s="484"/>
      <c r="H406" s="189"/>
      <c r="I406" s="6"/>
    </row>
    <row r="407" spans="1:9" ht="36.75" x14ac:dyDescent="0.25">
      <c r="A407" s="201" t="s">
        <v>0</v>
      </c>
      <c r="B407" s="65" t="s">
        <v>35</v>
      </c>
      <c r="C407" s="65" t="s">
        <v>36</v>
      </c>
      <c r="D407" s="65" t="s">
        <v>279</v>
      </c>
      <c r="E407" s="65" t="s">
        <v>222</v>
      </c>
      <c r="F407" s="65" t="s">
        <v>273</v>
      </c>
      <c r="G407" s="65" t="s">
        <v>37</v>
      </c>
      <c r="H407" s="65" t="s">
        <v>1175</v>
      </c>
      <c r="I407" s="65" t="s">
        <v>209</v>
      </c>
    </row>
    <row r="408" spans="1:9" ht="45.75" x14ac:dyDescent="0.25">
      <c r="A408" s="36">
        <v>18</v>
      </c>
      <c r="B408" s="243">
        <v>22100279</v>
      </c>
      <c r="C408" s="244" t="s">
        <v>1063</v>
      </c>
      <c r="D408" s="241">
        <v>15000000</v>
      </c>
      <c r="E408" s="483"/>
      <c r="F408" s="483"/>
      <c r="G408" s="483"/>
      <c r="H408" s="50">
        <f t="shared" ref="H408:H427" si="13">D408+G408-F408</f>
        <v>15000000</v>
      </c>
      <c r="I408" s="33"/>
    </row>
    <row r="409" spans="1:9" ht="23.25" x14ac:dyDescent="0.25">
      <c r="A409" s="476">
        <v>19</v>
      </c>
      <c r="B409" s="243">
        <v>22100280</v>
      </c>
      <c r="C409" s="244" t="s">
        <v>1064</v>
      </c>
      <c r="D409" s="241">
        <v>500000</v>
      </c>
      <c r="E409" s="483"/>
      <c r="F409" s="483"/>
      <c r="G409" s="483"/>
      <c r="H409" s="50">
        <f t="shared" si="13"/>
        <v>500000</v>
      </c>
      <c r="I409" s="33"/>
    </row>
    <row r="410" spans="1:9" ht="23.25" x14ac:dyDescent="0.25">
      <c r="A410" s="476">
        <v>20</v>
      </c>
      <c r="B410" s="243">
        <v>22100281</v>
      </c>
      <c r="C410" s="244" t="s">
        <v>1065</v>
      </c>
      <c r="D410" s="241">
        <v>1000000</v>
      </c>
      <c r="E410" s="483"/>
      <c r="F410" s="483"/>
      <c r="G410" s="483"/>
      <c r="H410" s="50">
        <f t="shared" si="13"/>
        <v>1000000</v>
      </c>
      <c r="I410" s="33"/>
    </row>
    <row r="411" spans="1:9" ht="23.25" x14ac:dyDescent="0.25">
      <c r="A411" s="476">
        <v>21</v>
      </c>
      <c r="B411" s="243">
        <v>22100282</v>
      </c>
      <c r="C411" s="244" t="s">
        <v>1066</v>
      </c>
      <c r="D411" s="241">
        <v>20000000</v>
      </c>
      <c r="E411" s="483"/>
      <c r="F411" s="483"/>
      <c r="G411" s="483"/>
      <c r="H411" s="50">
        <f t="shared" si="13"/>
        <v>20000000</v>
      </c>
      <c r="I411" s="33"/>
    </row>
    <row r="412" spans="1:9" x14ac:dyDescent="0.25">
      <c r="A412" s="476">
        <v>22</v>
      </c>
      <c r="B412" s="243">
        <v>22100283</v>
      </c>
      <c r="C412" s="244" t="s">
        <v>1049</v>
      </c>
      <c r="D412" s="241">
        <v>5000000</v>
      </c>
      <c r="E412" s="483"/>
      <c r="F412" s="483"/>
      <c r="G412" s="483"/>
      <c r="H412" s="50">
        <f t="shared" si="13"/>
        <v>5000000</v>
      </c>
      <c r="I412" s="33"/>
    </row>
    <row r="413" spans="1:9" ht="23.25" x14ac:dyDescent="0.25">
      <c r="A413" s="476">
        <v>23</v>
      </c>
      <c r="B413" s="243">
        <v>22100284</v>
      </c>
      <c r="C413" s="244" t="s">
        <v>1067</v>
      </c>
      <c r="D413" s="241">
        <v>40000000</v>
      </c>
      <c r="E413" s="483"/>
      <c r="F413" s="483"/>
      <c r="G413" s="483"/>
      <c r="H413" s="50">
        <f t="shared" si="13"/>
        <v>40000000</v>
      </c>
      <c r="I413" s="33"/>
    </row>
    <row r="414" spans="1:9" ht="23.25" x14ac:dyDescent="0.25">
      <c r="A414" s="476">
        <v>24</v>
      </c>
      <c r="B414" s="243">
        <v>22100285</v>
      </c>
      <c r="C414" s="244" t="s">
        <v>1068</v>
      </c>
      <c r="D414" s="241">
        <v>65000000</v>
      </c>
      <c r="E414" s="483"/>
      <c r="F414" s="483"/>
      <c r="G414" s="483"/>
      <c r="H414" s="50">
        <f t="shared" si="13"/>
        <v>65000000</v>
      </c>
      <c r="I414" s="33"/>
    </row>
    <row r="415" spans="1:9" ht="23.25" x14ac:dyDescent="0.25">
      <c r="A415" s="476">
        <v>25</v>
      </c>
      <c r="B415" s="243">
        <v>22100286</v>
      </c>
      <c r="C415" s="244" t="s">
        <v>306</v>
      </c>
      <c r="D415" s="241">
        <v>5000000</v>
      </c>
      <c r="E415" s="483"/>
      <c r="F415" s="483"/>
      <c r="G415" s="483"/>
      <c r="H415" s="50">
        <f t="shared" si="13"/>
        <v>5000000</v>
      </c>
      <c r="I415" s="33"/>
    </row>
    <row r="416" spans="1:9" x14ac:dyDescent="0.25">
      <c r="A416" s="476">
        <v>26</v>
      </c>
      <c r="B416" s="243">
        <v>22100287</v>
      </c>
      <c r="C416" s="244" t="s">
        <v>307</v>
      </c>
      <c r="D416" s="241">
        <v>45000000</v>
      </c>
      <c r="E416" s="483"/>
      <c r="F416" s="483"/>
      <c r="G416" s="483"/>
      <c r="H416" s="50">
        <f t="shared" si="13"/>
        <v>45000000</v>
      </c>
      <c r="I416" s="33"/>
    </row>
    <row r="417" spans="1:9" ht="23.25" x14ac:dyDescent="0.25">
      <c r="A417" s="476">
        <v>27</v>
      </c>
      <c r="B417" s="243">
        <v>22100288</v>
      </c>
      <c r="C417" s="244" t="s">
        <v>1069</v>
      </c>
      <c r="D417" s="241">
        <v>40000000</v>
      </c>
      <c r="E417" s="483"/>
      <c r="F417" s="483"/>
      <c r="G417" s="483"/>
      <c r="H417" s="50">
        <f t="shared" si="13"/>
        <v>40000000</v>
      </c>
      <c r="I417" s="33"/>
    </row>
    <row r="418" spans="1:9" ht="23.25" x14ac:dyDescent="0.25">
      <c r="A418" s="476">
        <v>28</v>
      </c>
      <c r="B418" s="243">
        <v>22100289</v>
      </c>
      <c r="C418" s="244" t="s">
        <v>1070</v>
      </c>
      <c r="D418" s="241">
        <v>5000000</v>
      </c>
      <c r="E418" s="483"/>
      <c r="F418" s="483"/>
      <c r="G418" s="483"/>
      <c r="H418" s="50">
        <f t="shared" si="13"/>
        <v>5000000</v>
      </c>
      <c r="I418" s="33"/>
    </row>
    <row r="419" spans="1:9" ht="34.5" x14ac:dyDescent="0.25">
      <c r="A419" s="476">
        <v>29</v>
      </c>
      <c r="B419" s="243">
        <v>22100290</v>
      </c>
      <c r="C419" s="244" t="s">
        <v>1071</v>
      </c>
      <c r="D419" s="241">
        <v>2000000</v>
      </c>
      <c r="E419" s="483"/>
      <c r="F419" s="483"/>
      <c r="G419" s="483"/>
      <c r="H419" s="50">
        <f t="shared" si="13"/>
        <v>2000000</v>
      </c>
      <c r="I419" s="33"/>
    </row>
    <row r="420" spans="1:9" ht="23.25" x14ac:dyDescent="0.25">
      <c r="A420" s="476">
        <v>30</v>
      </c>
      <c r="B420" s="243">
        <v>22100291</v>
      </c>
      <c r="C420" s="244" t="s">
        <v>1072</v>
      </c>
      <c r="D420" s="241">
        <v>10000000</v>
      </c>
      <c r="E420" s="483"/>
      <c r="F420" s="483"/>
      <c r="G420" s="483"/>
      <c r="H420" s="50">
        <f t="shared" si="13"/>
        <v>10000000</v>
      </c>
      <c r="I420" s="33"/>
    </row>
    <row r="421" spans="1:9" ht="23.25" x14ac:dyDescent="0.25">
      <c r="A421" s="476">
        <v>31</v>
      </c>
      <c r="B421" s="243">
        <v>22100292</v>
      </c>
      <c r="C421" s="244" t="s">
        <v>1073</v>
      </c>
      <c r="D421" s="241">
        <v>2000000</v>
      </c>
      <c r="E421" s="483"/>
      <c r="F421" s="483"/>
      <c r="G421" s="483"/>
      <c r="H421" s="50">
        <f t="shared" si="13"/>
        <v>2000000</v>
      </c>
      <c r="I421" s="33"/>
    </row>
    <row r="422" spans="1:9" ht="34.5" x14ac:dyDescent="0.25">
      <c r="A422" s="476">
        <v>32</v>
      </c>
      <c r="B422" s="243">
        <v>22100293</v>
      </c>
      <c r="C422" s="244" t="s">
        <v>1074</v>
      </c>
      <c r="D422" s="241">
        <v>40000000</v>
      </c>
      <c r="E422" s="483"/>
      <c r="F422" s="483"/>
      <c r="G422" s="483"/>
      <c r="H422" s="50">
        <f t="shared" si="13"/>
        <v>40000000</v>
      </c>
      <c r="I422" s="33"/>
    </row>
    <row r="423" spans="1:9" ht="23.25" x14ac:dyDescent="0.25">
      <c r="A423" s="476">
        <v>33</v>
      </c>
      <c r="B423" s="243">
        <v>22100294</v>
      </c>
      <c r="C423" s="244" t="s">
        <v>1075</v>
      </c>
      <c r="D423" s="241">
        <v>10000000</v>
      </c>
      <c r="E423" s="483"/>
      <c r="F423" s="483"/>
      <c r="G423" s="483"/>
      <c r="H423" s="50">
        <f t="shared" si="13"/>
        <v>10000000</v>
      </c>
      <c r="I423" s="33"/>
    </row>
    <row r="424" spans="1:9" x14ac:dyDescent="0.25">
      <c r="A424" s="476">
        <v>34</v>
      </c>
      <c r="B424" s="243">
        <v>22100295</v>
      </c>
      <c r="C424" s="244" t="s">
        <v>1076</v>
      </c>
      <c r="D424" s="241">
        <v>1000000</v>
      </c>
      <c r="E424" s="483"/>
      <c r="F424" s="483"/>
      <c r="G424" s="483"/>
      <c r="H424" s="50">
        <f t="shared" si="13"/>
        <v>1000000</v>
      </c>
      <c r="I424" s="33"/>
    </row>
    <row r="425" spans="1:9" x14ac:dyDescent="0.25">
      <c r="A425" s="476">
        <v>35</v>
      </c>
      <c r="B425" s="243">
        <v>22100296</v>
      </c>
      <c r="C425" s="244" t="s">
        <v>1077</v>
      </c>
      <c r="D425" s="241">
        <v>500000</v>
      </c>
      <c r="E425" s="483"/>
      <c r="F425" s="483"/>
      <c r="G425" s="483"/>
      <c r="H425" s="50">
        <f t="shared" si="13"/>
        <v>500000</v>
      </c>
      <c r="I425" s="33"/>
    </row>
    <row r="426" spans="1:9" x14ac:dyDescent="0.25">
      <c r="A426" s="476">
        <v>36</v>
      </c>
      <c r="B426" s="243">
        <v>22100297</v>
      </c>
      <c r="C426" s="244" t="s">
        <v>1078</v>
      </c>
      <c r="D426" s="241">
        <v>10000000</v>
      </c>
      <c r="E426" s="483"/>
      <c r="F426" s="483"/>
      <c r="G426" s="483"/>
      <c r="H426" s="50">
        <f t="shared" si="13"/>
        <v>10000000</v>
      </c>
      <c r="I426" s="33"/>
    </row>
    <row r="427" spans="1:9" ht="34.5" x14ac:dyDescent="0.25">
      <c r="A427" s="36">
        <v>37</v>
      </c>
      <c r="B427" s="243">
        <v>22100298</v>
      </c>
      <c r="C427" s="244" t="s">
        <v>1079</v>
      </c>
      <c r="D427" s="241">
        <v>28000000</v>
      </c>
      <c r="E427" s="483"/>
      <c r="F427" s="483"/>
      <c r="G427" s="483"/>
      <c r="H427" s="50">
        <f t="shared" si="13"/>
        <v>28000000</v>
      </c>
      <c r="I427" s="33"/>
    </row>
    <row r="428" spans="1:9" ht="36.75" x14ac:dyDescent="0.25">
      <c r="A428" s="201" t="s">
        <v>0</v>
      </c>
      <c r="B428" s="65" t="s">
        <v>35</v>
      </c>
      <c r="C428" s="65" t="s">
        <v>36</v>
      </c>
      <c r="D428" s="65" t="s">
        <v>279</v>
      </c>
      <c r="E428" s="65" t="s">
        <v>222</v>
      </c>
      <c r="F428" s="65" t="s">
        <v>273</v>
      </c>
      <c r="G428" s="65" t="s">
        <v>37</v>
      </c>
      <c r="H428" s="65" t="s">
        <v>1175</v>
      </c>
      <c r="I428" s="65" t="s">
        <v>209</v>
      </c>
    </row>
    <row r="429" spans="1:9" ht="23.25" x14ac:dyDescent="0.25">
      <c r="A429" s="476">
        <v>38</v>
      </c>
      <c r="B429" s="243">
        <v>22100299</v>
      </c>
      <c r="C429" s="244" t="s">
        <v>1080</v>
      </c>
      <c r="D429" s="241">
        <v>5000000</v>
      </c>
      <c r="E429" s="483"/>
      <c r="F429" s="483"/>
      <c r="G429" s="483"/>
      <c r="H429" s="50">
        <f t="shared" ref="H429:H440" si="14">D429+G429-F429</f>
        <v>5000000</v>
      </c>
      <c r="I429" s="33"/>
    </row>
    <row r="430" spans="1:9" ht="23.25" x14ac:dyDescent="0.25">
      <c r="A430" s="476">
        <v>39</v>
      </c>
      <c r="B430" s="243">
        <v>22100301</v>
      </c>
      <c r="C430" s="244" t="s">
        <v>1081</v>
      </c>
      <c r="D430" s="241">
        <v>70000000</v>
      </c>
      <c r="E430" s="483"/>
      <c r="F430" s="483"/>
      <c r="G430" s="483"/>
      <c r="H430" s="50">
        <f t="shared" si="14"/>
        <v>70000000</v>
      </c>
      <c r="I430" s="33"/>
    </row>
    <row r="431" spans="1:9" ht="23.25" x14ac:dyDescent="0.25">
      <c r="A431" s="476">
        <v>40</v>
      </c>
      <c r="B431" s="243">
        <v>22100302</v>
      </c>
      <c r="C431" s="244" t="s">
        <v>1082</v>
      </c>
      <c r="D431" s="241">
        <v>33000000</v>
      </c>
      <c r="E431" s="483"/>
      <c r="F431" s="483"/>
      <c r="G431" s="483"/>
      <c r="H431" s="50">
        <f t="shared" si="14"/>
        <v>33000000</v>
      </c>
      <c r="I431" s="33"/>
    </row>
    <row r="432" spans="1:9" ht="34.5" x14ac:dyDescent="0.25">
      <c r="A432" s="476">
        <v>41</v>
      </c>
      <c r="B432" s="243">
        <v>22100303</v>
      </c>
      <c r="C432" s="244" t="s">
        <v>1083</v>
      </c>
      <c r="D432" s="241">
        <v>100000000</v>
      </c>
      <c r="E432" s="483"/>
      <c r="F432" s="483"/>
      <c r="G432" s="483"/>
      <c r="H432" s="50">
        <f t="shared" si="14"/>
        <v>100000000</v>
      </c>
      <c r="I432" s="33"/>
    </row>
    <row r="433" spans="1:9" x14ac:dyDescent="0.25">
      <c r="A433" s="476">
        <v>42</v>
      </c>
      <c r="B433" s="243">
        <v>22100305</v>
      </c>
      <c r="C433" s="244" t="s">
        <v>626</v>
      </c>
      <c r="D433" s="241">
        <v>2000000</v>
      </c>
      <c r="E433" s="483"/>
      <c r="F433" s="483"/>
      <c r="G433" s="483"/>
      <c r="H433" s="50">
        <f t="shared" si="14"/>
        <v>2000000</v>
      </c>
      <c r="I433" s="33"/>
    </row>
    <row r="434" spans="1:9" x14ac:dyDescent="0.25">
      <c r="A434" s="476">
        <v>43</v>
      </c>
      <c r="B434" s="243">
        <v>22100306</v>
      </c>
      <c r="C434" s="244" t="s">
        <v>1084</v>
      </c>
      <c r="D434" s="241">
        <v>8000000</v>
      </c>
      <c r="E434" s="483"/>
      <c r="F434" s="483"/>
      <c r="G434" s="483"/>
      <c r="H434" s="50">
        <f t="shared" si="14"/>
        <v>8000000</v>
      </c>
      <c r="I434" s="33"/>
    </row>
    <row r="435" spans="1:9" ht="34.5" x14ac:dyDescent="0.25">
      <c r="A435" s="476">
        <v>44</v>
      </c>
      <c r="B435" s="243">
        <v>22100307</v>
      </c>
      <c r="C435" s="244" t="s">
        <v>1085</v>
      </c>
      <c r="D435" s="241">
        <v>20000000</v>
      </c>
      <c r="E435" s="483"/>
      <c r="F435" s="483"/>
      <c r="G435" s="483"/>
      <c r="H435" s="50">
        <f t="shared" si="14"/>
        <v>20000000</v>
      </c>
      <c r="I435" s="33"/>
    </row>
    <row r="436" spans="1:9" ht="23.25" x14ac:dyDescent="0.25">
      <c r="A436" s="476">
        <v>45</v>
      </c>
      <c r="B436" s="243">
        <v>22100308</v>
      </c>
      <c r="C436" s="244" t="s">
        <v>1086</v>
      </c>
      <c r="D436" s="241">
        <v>2000000</v>
      </c>
      <c r="E436" s="483"/>
      <c r="F436" s="483"/>
      <c r="G436" s="483"/>
      <c r="H436" s="50">
        <f t="shared" si="14"/>
        <v>2000000</v>
      </c>
      <c r="I436" s="33"/>
    </row>
    <row r="437" spans="1:9" ht="23.25" x14ac:dyDescent="0.25">
      <c r="A437" s="476">
        <v>46</v>
      </c>
      <c r="B437" s="243">
        <v>22100309</v>
      </c>
      <c r="C437" s="244" t="s">
        <v>1087</v>
      </c>
      <c r="D437" s="241">
        <v>3000000</v>
      </c>
      <c r="E437" s="483"/>
      <c r="F437" s="483"/>
      <c r="G437" s="483"/>
      <c r="H437" s="50">
        <f t="shared" si="14"/>
        <v>3000000</v>
      </c>
      <c r="I437" s="33"/>
    </row>
    <row r="438" spans="1:9" x14ac:dyDescent="0.25">
      <c r="A438" s="476">
        <v>47</v>
      </c>
      <c r="B438" s="243">
        <v>22100478</v>
      </c>
      <c r="C438" s="244" t="s">
        <v>396</v>
      </c>
      <c r="D438" s="241">
        <v>30000000</v>
      </c>
      <c r="E438" s="483"/>
      <c r="F438" s="483"/>
      <c r="G438" s="483"/>
      <c r="H438" s="50">
        <f t="shared" si="14"/>
        <v>30000000</v>
      </c>
      <c r="I438" s="33"/>
    </row>
    <row r="439" spans="1:9" x14ac:dyDescent="0.25">
      <c r="A439" s="476">
        <v>48</v>
      </c>
      <c r="B439" s="243">
        <v>22100663</v>
      </c>
      <c r="C439" s="244" t="s">
        <v>1088</v>
      </c>
      <c r="D439" s="241">
        <v>15000000</v>
      </c>
      <c r="E439" s="483"/>
      <c r="F439" s="483"/>
      <c r="G439" s="483"/>
      <c r="H439" s="50">
        <f t="shared" si="14"/>
        <v>15000000</v>
      </c>
      <c r="I439" s="33"/>
    </row>
    <row r="440" spans="1:9" ht="23.25" x14ac:dyDescent="0.25">
      <c r="A440" s="476">
        <v>49</v>
      </c>
      <c r="B440" s="243">
        <v>22100680</v>
      </c>
      <c r="C440" s="244" t="s">
        <v>1089</v>
      </c>
      <c r="D440" s="241">
        <v>40000000</v>
      </c>
      <c r="E440" s="483"/>
      <c r="F440" s="483"/>
      <c r="G440" s="483"/>
      <c r="H440" s="50">
        <f t="shared" si="14"/>
        <v>40000000</v>
      </c>
      <c r="I440" s="33"/>
    </row>
    <row r="441" spans="1:9" x14ac:dyDescent="0.25">
      <c r="A441" s="33"/>
      <c r="B441" s="31"/>
      <c r="C441" s="67" t="s">
        <v>38</v>
      </c>
      <c r="D441" s="73">
        <f>SUM(D389:D440)</f>
        <v>1756000000</v>
      </c>
      <c r="E441" s="254">
        <f t="shared" ref="E441:G441" si="15">SUM(E389:E440)</f>
        <v>0</v>
      </c>
      <c r="F441" s="73">
        <f t="shared" si="15"/>
        <v>260000000</v>
      </c>
      <c r="G441" s="254">
        <f t="shared" si="15"/>
        <v>0</v>
      </c>
      <c r="H441" s="73">
        <f>SUM(H389:H440)</f>
        <v>1496000000</v>
      </c>
      <c r="I441" s="33"/>
    </row>
    <row r="456" spans="1:9" x14ac:dyDescent="0.25">
      <c r="A456" s="628" t="s">
        <v>276</v>
      </c>
      <c r="B456" s="628"/>
      <c r="C456" s="628"/>
      <c r="D456" s="628"/>
      <c r="E456" s="628"/>
      <c r="F456" s="628"/>
      <c r="G456" s="628"/>
      <c r="H456" s="628"/>
      <c r="I456" s="628"/>
    </row>
    <row r="457" spans="1:9" x14ac:dyDescent="0.25">
      <c r="A457" s="628" t="s">
        <v>1176</v>
      </c>
      <c r="B457" s="628"/>
      <c r="C457" s="628"/>
      <c r="D457" s="628"/>
      <c r="E457" s="628"/>
      <c r="F457" s="628"/>
      <c r="G457" s="628"/>
      <c r="H457" s="628"/>
      <c r="I457" s="628"/>
    </row>
    <row r="458" spans="1:9" x14ac:dyDescent="0.25">
      <c r="A458" s="628" t="s">
        <v>34</v>
      </c>
      <c r="B458" s="628"/>
      <c r="C458" s="628"/>
      <c r="D458" s="628"/>
      <c r="E458" s="628"/>
      <c r="F458" s="628"/>
      <c r="G458" s="628"/>
      <c r="H458" s="628"/>
      <c r="I458" s="628"/>
    </row>
    <row r="459" spans="1:9" x14ac:dyDescent="0.25">
      <c r="A459" s="262"/>
      <c r="B459" s="262"/>
      <c r="C459" s="262"/>
      <c r="D459" s="262"/>
      <c r="E459" s="262"/>
      <c r="F459" s="262"/>
      <c r="G459" s="262"/>
      <c r="H459" s="262"/>
    </row>
    <row r="460" spans="1:9" x14ac:dyDescent="0.25">
      <c r="A460" s="62" t="s">
        <v>334</v>
      </c>
      <c r="B460" s="62"/>
      <c r="C460" s="62"/>
      <c r="D460" s="62"/>
      <c r="E460" s="62"/>
      <c r="F460" s="62"/>
      <c r="G460" s="62"/>
      <c r="H460" s="63"/>
    </row>
    <row r="461" spans="1:9" x14ac:dyDescent="0.25">
      <c r="A461" s="63"/>
      <c r="B461" s="262"/>
      <c r="C461" s="63"/>
      <c r="D461" s="63"/>
      <c r="E461" s="63"/>
      <c r="F461" s="63"/>
      <c r="G461" s="63"/>
      <c r="H461" s="63"/>
    </row>
    <row r="462" spans="1:9" x14ac:dyDescent="0.25">
      <c r="A462" s="64" t="s">
        <v>335</v>
      </c>
      <c r="B462" s="64"/>
      <c r="C462" s="64"/>
      <c r="D462" s="63"/>
      <c r="E462" s="63"/>
      <c r="F462" s="63"/>
      <c r="G462" s="63"/>
      <c r="H462" s="63"/>
    </row>
    <row r="463" spans="1:9" ht="36.75" x14ac:dyDescent="0.25">
      <c r="A463" s="46" t="s">
        <v>0</v>
      </c>
      <c r="B463" s="65" t="s">
        <v>35</v>
      </c>
      <c r="C463" s="65" t="s">
        <v>36</v>
      </c>
      <c r="D463" s="65" t="s">
        <v>279</v>
      </c>
      <c r="E463" s="65" t="s">
        <v>222</v>
      </c>
      <c r="F463" s="65" t="s">
        <v>273</v>
      </c>
      <c r="G463" s="66" t="s">
        <v>37</v>
      </c>
      <c r="H463" s="66" t="s">
        <v>1175</v>
      </c>
      <c r="I463" s="66" t="s">
        <v>209</v>
      </c>
    </row>
    <row r="464" spans="1:9" x14ac:dyDescent="0.25">
      <c r="A464" s="56">
        <v>1</v>
      </c>
      <c r="B464" s="243">
        <v>22100262</v>
      </c>
      <c r="C464" s="244" t="s">
        <v>344</v>
      </c>
      <c r="D464" s="241">
        <v>6000000</v>
      </c>
      <c r="E464" s="155">
        <v>0</v>
      </c>
      <c r="F464" s="155">
        <v>0</v>
      </c>
      <c r="G464" s="155">
        <v>0</v>
      </c>
      <c r="H464" s="50">
        <f t="shared" ref="H464:H471" si="16">D464+G464</f>
        <v>6000000</v>
      </c>
      <c r="I464" s="33"/>
    </row>
    <row r="465" spans="1:9" ht="23.25" x14ac:dyDescent="0.25">
      <c r="A465" s="56">
        <v>2</v>
      </c>
      <c r="B465" s="243">
        <v>22100320</v>
      </c>
      <c r="C465" s="244" t="s">
        <v>336</v>
      </c>
      <c r="D465" s="241">
        <v>169000000</v>
      </c>
      <c r="E465" s="155">
        <v>140026500</v>
      </c>
      <c r="F465" s="155">
        <v>0</v>
      </c>
      <c r="G465" s="155">
        <v>91000000</v>
      </c>
      <c r="H465" s="50">
        <f t="shared" si="16"/>
        <v>260000000</v>
      </c>
      <c r="I465" s="56" t="s">
        <v>208</v>
      </c>
    </row>
    <row r="466" spans="1:9" x14ac:dyDescent="0.25">
      <c r="A466" s="56">
        <v>3</v>
      </c>
      <c r="B466" s="243">
        <v>22100321</v>
      </c>
      <c r="C466" s="244" t="s">
        <v>337</v>
      </c>
      <c r="D466" s="241">
        <v>2000000</v>
      </c>
      <c r="E466" s="155">
        <v>0</v>
      </c>
      <c r="F466" s="155">
        <v>0</v>
      </c>
      <c r="G466" s="155">
        <v>0</v>
      </c>
      <c r="H466" s="50">
        <f t="shared" si="16"/>
        <v>2000000</v>
      </c>
      <c r="I466" s="33"/>
    </row>
    <row r="467" spans="1:9" ht="34.5" x14ac:dyDescent="0.25">
      <c r="A467" s="56">
        <v>4</v>
      </c>
      <c r="B467" s="243">
        <v>22100322</v>
      </c>
      <c r="C467" s="244" t="s">
        <v>338</v>
      </c>
      <c r="D467" s="241">
        <v>15000000</v>
      </c>
      <c r="E467" s="155">
        <v>0</v>
      </c>
      <c r="F467" s="155">
        <v>0</v>
      </c>
      <c r="G467" s="155">
        <v>0</v>
      </c>
      <c r="H467" s="50">
        <f t="shared" si="16"/>
        <v>15000000</v>
      </c>
      <c r="I467" s="33"/>
    </row>
    <row r="468" spans="1:9" ht="34.5" x14ac:dyDescent="0.25">
      <c r="A468" s="56">
        <v>5</v>
      </c>
      <c r="B468" s="243">
        <v>22100323</v>
      </c>
      <c r="C468" s="244" t="s">
        <v>339</v>
      </c>
      <c r="D468" s="241">
        <v>3000000</v>
      </c>
      <c r="E468" s="155">
        <v>0</v>
      </c>
      <c r="F468" s="155">
        <v>0</v>
      </c>
      <c r="G468" s="155">
        <v>0</v>
      </c>
      <c r="H468" s="50">
        <f t="shared" si="16"/>
        <v>3000000</v>
      </c>
      <c r="I468" s="33"/>
    </row>
    <row r="469" spans="1:9" x14ac:dyDescent="0.25">
      <c r="A469" s="56">
        <v>6</v>
      </c>
      <c r="B469" s="243">
        <v>22100324</v>
      </c>
      <c r="C469" s="244" t="s">
        <v>340</v>
      </c>
      <c r="D469" s="241">
        <v>1500000</v>
      </c>
      <c r="E469" s="155">
        <v>0</v>
      </c>
      <c r="F469" s="155">
        <v>0</v>
      </c>
      <c r="G469" s="155">
        <v>0</v>
      </c>
      <c r="H469" s="50">
        <f t="shared" si="16"/>
        <v>1500000</v>
      </c>
      <c r="I469" s="33"/>
    </row>
    <row r="470" spans="1:9" ht="23.25" x14ac:dyDescent="0.25">
      <c r="A470" s="56">
        <v>7</v>
      </c>
      <c r="B470" s="243">
        <v>22100325</v>
      </c>
      <c r="C470" s="244" t="s">
        <v>341</v>
      </c>
      <c r="D470" s="241">
        <v>1000000</v>
      </c>
      <c r="E470" s="155">
        <v>0</v>
      </c>
      <c r="F470" s="155">
        <v>0</v>
      </c>
      <c r="G470" s="245">
        <v>0</v>
      </c>
      <c r="H470" s="50">
        <f t="shared" si="16"/>
        <v>1000000</v>
      </c>
      <c r="I470" s="33"/>
    </row>
    <row r="471" spans="1:9" x14ac:dyDescent="0.25">
      <c r="A471" s="56">
        <v>8</v>
      </c>
      <c r="B471" s="243">
        <v>22100326</v>
      </c>
      <c r="C471" s="244" t="s">
        <v>342</v>
      </c>
      <c r="D471" s="241">
        <v>2500000</v>
      </c>
      <c r="E471" s="155">
        <v>2487000</v>
      </c>
      <c r="F471" s="155">
        <v>0</v>
      </c>
      <c r="G471" s="155">
        <v>2500000</v>
      </c>
      <c r="H471" s="60">
        <f t="shared" si="16"/>
        <v>5000000</v>
      </c>
      <c r="I471" s="56" t="s">
        <v>605</v>
      </c>
    </row>
    <row r="472" spans="1:9" x14ac:dyDescent="0.25">
      <c r="A472" s="56">
        <v>9</v>
      </c>
      <c r="B472" s="243">
        <v>22100327</v>
      </c>
      <c r="C472" s="244" t="s">
        <v>343</v>
      </c>
      <c r="D472" s="245">
        <v>0</v>
      </c>
      <c r="E472" s="245">
        <v>0</v>
      </c>
      <c r="F472" s="155"/>
      <c r="G472" s="155"/>
      <c r="H472" s="60"/>
      <c r="I472" s="33"/>
    </row>
    <row r="473" spans="1:9" x14ac:dyDescent="0.25">
      <c r="A473" s="33"/>
      <c r="B473" s="31"/>
      <c r="C473" s="67" t="s">
        <v>38</v>
      </c>
      <c r="D473" s="73">
        <f t="shared" ref="D473:G473" si="17">SUM(D464:D471)</f>
        <v>200000000</v>
      </c>
      <c r="E473" s="73">
        <f t="shared" si="17"/>
        <v>142513500</v>
      </c>
      <c r="F473" s="254">
        <f t="shared" si="17"/>
        <v>0</v>
      </c>
      <c r="G473" s="73">
        <f t="shared" si="17"/>
        <v>93500000</v>
      </c>
      <c r="H473" s="73">
        <f>SUM(H464:H471)</f>
        <v>293500000</v>
      </c>
      <c r="I473" s="33"/>
    </row>
    <row r="485" spans="1:9" x14ac:dyDescent="0.25">
      <c r="A485" s="628" t="s">
        <v>276</v>
      </c>
      <c r="B485" s="628"/>
      <c r="C485" s="628"/>
      <c r="D485" s="628"/>
      <c r="E485" s="628"/>
      <c r="F485" s="628"/>
      <c r="G485" s="628"/>
      <c r="H485" s="628"/>
      <c r="I485" s="628"/>
    </row>
    <row r="486" spans="1:9" x14ac:dyDescent="0.25">
      <c r="A486" s="628" t="s">
        <v>1176</v>
      </c>
      <c r="B486" s="628"/>
      <c r="C486" s="628"/>
      <c r="D486" s="628"/>
      <c r="E486" s="628"/>
      <c r="F486" s="628"/>
      <c r="G486" s="628"/>
      <c r="H486" s="628"/>
      <c r="I486" s="628"/>
    </row>
    <row r="487" spans="1:9" x14ac:dyDescent="0.25">
      <c r="A487" s="628" t="s">
        <v>34</v>
      </c>
      <c r="B487" s="628"/>
      <c r="C487" s="628"/>
      <c r="D487" s="628"/>
      <c r="E487" s="628"/>
      <c r="F487" s="628"/>
      <c r="G487" s="628"/>
      <c r="H487" s="628"/>
      <c r="I487" s="628"/>
    </row>
    <row r="488" spans="1:9" x14ac:dyDescent="0.25">
      <c r="A488" s="265"/>
      <c r="B488" s="265"/>
      <c r="C488" s="265"/>
      <c r="D488" s="265"/>
      <c r="E488" s="265"/>
      <c r="F488" s="265"/>
      <c r="G488" s="265"/>
      <c r="H488" s="265"/>
    </row>
    <row r="489" spans="1:9" x14ac:dyDescent="0.25">
      <c r="A489" s="72" t="s">
        <v>415</v>
      </c>
      <c r="B489" s="62"/>
      <c r="C489" s="62"/>
      <c r="D489" s="62"/>
      <c r="E489" s="62"/>
      <c r="F489" s="62"/>
      <c r="G489" s="62"/>
      <c r="H489" s="63"/>
    </row>
    <row r="490" spans="1:9" x14ac:dyDescent="0.25">
      <c r="A490" s="63"/>
      <c r="B490" s="265"/>
      <c r="C490" s="63"/>
      <c r="D490" s="63"/>
      <c r="E490" s="63"/>
      <c r="F490" s="63"/>
      <c r="G490" s="63"/>
      <c r="H490" s="63"/>
    </row>
    <row r="491" spans="1:9" x14ac:dyDescent="0.25">
      <c r="A491" s="64" t="s">
        <v>414</v>
      </c>
      <c r="B491" s="64"/>
      <c r="C491" s="64"/>
      <c r="D491" s="63"/>
      <c r="E491" s="63"/>
      <c r="F491" s="63"/>
      <c r="G491" s="63"/>
      <c r="H491" s="63"/>
    </row>
    <row r="492" spans="1:9" ht="36.75" x14ac:dyDescent="0.25">
      <c r="A492" s="46" t="s">
        <v>0</v>
      </c>
      <c r="B492" s="65" t="s">
        <v>35</v>
      </c>
      <c r="C492" s="65" t="s">
        <v>36</v>
      </c>
      <c r="D492" s="65" t="s">
        <v>279</v>
      </c>
      <c r="E492" s="65" t="s">
        <v>222</v>
      </c>
      <c r="F492" s="65" t="s">
        <v>273</v>
      </c>
      <c r="G492" s="66" t="s">
        <v>37</v>
      </c>
      <c r="H492" s="66" t="s">
        <v>1175</v>
      </c>
      <c r="I492" s="66" t="s">
        <v>209</v>
      </c>
    </row>
    <row r="493" spans="1:9" x14ac:dyDescent="0.25">
      <c r="A493" s="36">
        <v>1</v>
      </c>
      <c r="B493" s="243">
        <v>22100204</v>
      </c>
      <c r="C493" s="244" t="s">
        <v>361</v>
      </c>
      <c r="D493" s="241">
        <v>3625000</v>
      </c>
      <c r="E493" s="249">
        <v>3623397</v>
      </c>
      <c r="F493" s="249">
        <v>0</v>
      </c>
      <c r="G493" s="249">
        <v>1000000</v>
      </c>
      <c r="H493" s="50">
        <f>D493+G493</f>
        <v>4625000</v>
      </c>
      <c r="I493" s="56" t="s">
        <v>208</v>
      </c>
    </row>
    <row r="494" spans="1:9" x14ac:dyDescent="0.25">
      <c r="A494" s="36">
        <v>2</v>
      </c>
      <c r="B494" s="243">
        <v>22100262</v>
      </c>
      <c r="C494" s="244" t="s">
        <v>416</v>
      </c>
      <c r="D494" s="241">
        <v>2000000</v>
      </c>
      <c r="E494" s="249">
        <v>0</v>
      </c>
      <c r="F494" s="249">
        <v>0</v>
      </c>
      <c r="G494" s="249">
        <v>0</v>
      </c>
      <c r="H494" s="50">
        <f>D494+G494</f>
        <v>2000000</v>
      </c>
      <c r="I494" s="56"/>
    </row>
    <row r="495" spans="1:9" x14ac:dyDescent="0.25">
      <c r="A495" s="36">
        <v>3</v>
      </c>
      <c r="B495" s="243">
        <v>22100263</v>
      </c>
      <c r="C495" s="244" t="s">
        <v>348</v>
      </c>
      <c r="D495" s="241">
        <v>3750000</v>
      </c>
      <c r="E495" s="249">
        <v>0</v>
      </c>
      <c r="F495" s="249">
        <v>0</v>
      </c>
      <c r="G495" s="249">
        <v>0</v>
      </c>
      <c r="H495" s="50">
        <f>D495+G495</f>
        <v>3750000</v>
      </c>
      <c r="I495" s="56"/>
    </row>
    <row r="496" spans="1:9" ht="45.75" x14ac:dyDescent="0.25">
      <c r="A496" s="36">
        <v>4</v>
      </c>
      <c r="B496" s="243">
        <v>22100329</v>
      </c>
      <c r="C496" s="244" t="s">
        <v>417</v>
      </c>
      <c r="D496" s="241">
        <v>625000</v>
      </c>
      <c r="E496" s="249">
        <v>0</v>
      </c>
      <c r="F496" s="249">
        <v>0</v>
      </c>
      <c r="G496" s="249">
        <v>0</v>
      </c>
      <c r="H496" s="50">
        <f>D496+G496</f>
        <v>625000</v>
      </c>
      <c r="I496" s="56"/>
    </row>
    <row r="497" spans="1:9" x14ac:dyDescent="0.25">
      <c r="A497" s="33"/>
      <c r="B497" s="31"/>
      <c r="C497" s="67" t="s">
        <v>38</v>
      </c>
      <c r="D497" s="73">
        <f>SUM(D493:D496)</f>
        <v>10000000</v>
      </c>
      <c r="E497" s="73">
        <f>SUM(E493:E496)</f>
        <v>3623397</v>
      </c>
      <c r="F497" s="73">
        <f>SUM(F493:F496)</f>
        <v>0</v>
      </c>
      <c r="G497" s="73">
        <f>SUM(G493:G496)</f>
        <v>1000000</v>
      </c>
      <c r="H497" s="73">
        <f>SUM(H493:H496)</f>
        <v>11000000</v>
      </c>
      <c r="I497" s="33"/>
    </row>
    <row r="516" spans="1:9" x14ac:dyDescent="0.25">
      <c r="A516" s="628" t="s">
        <v>276</v>
      </c>
      <c r="B516" s="628"/>
      <c r="C516" s="628"/>
      <c r="D516" s="628"/>
      <c r="E516" s="628"/>
      <c r="F516" s="628"/>
      <c r="G516" s="628"/>
      <c r="H516" s="628"/>
      <c r="I516" s="628"/>
    </row>
    <row r="517" spans="1:9" x14ac:dyDescent="0.25">
      <c r="A517" s="628" t="s">
        <v>1176</v>
      </c>
      <c r="B517" s="628"/>
      <c r="C517" s="628"/>
      <c r="D517" s="628"/>
      <c r="E517" s="628"/>
      <c r="F517" s="628"/>
      <c r="G517" s="628"/>
      <c r="H517" s="628"/>
      <c r="I517" s="628"/>
    </row>
    <row r="518" spans="1:9" x14ac:dyDescent="0.25">
      <c r="A518" s="628" t="s">
        <v>34</v>
      </c>
      <c r="B518" s="628"/>
      <c r="C518" s="628"/>
      <c r="D518" s="628"/>
      <c r="E518" s="628"/>
      <c r="F518" s="628"/>
      <c r="G518" s="628"/>
      <c r="H518" s="628"/>
      <c r="I518" s="628"/>
    </row>
    <row r="519" spans="1:9" x14ac:dyDescent="0.25">
      <c r="A519" s="312"/>
      <c r="B519" s="312"/>
      <c r="C519" s="312"/>
      <c r="D519" s="312"/>
      <c r="E519" s="312"/>
      <c r="F519" s="312"/>
      <c r="G519" s="312"/>
      <c r="H519" s="312"/>
    </row>
    <row r="520" spans="1:9" x14ac:dyDescent="0.25">
      <c r="A520" s="62" t="s">
        <v>565</v>
      </c>
      <c r="B520" s="62"/>
      <c r="C520" s="62"/>
      <c r="D520" s="62"/>
      <c r="E520" s="62"/>
      <c r="F520" s="62"/>
      <c r="G520" s="62"/>
      <c r="H520" s="63"/>
    </row>
    <row r="521" spans="1:9" x14ac:dyDescent="0.25">
      <c r="A521" s="63"/>
      <c r="B521" s="312"/>
      <c r="C521" s="63"/>
      <c r="D521" s="63"/>
      <c r="E521" s="63"/>
      <c r="F521" s="63"/>
      <c r="G521" s="63"/>
      <c r="H521" s="63"/>
    </row>
    <row r="522" spans="1:9" x14ac:dyDescent="0.25">
      <c r="A522" s="64" t="s">
        <v>578</v>
      </c>
      <c r="B522" s="64"/>
      <c r="C522" s="64"/>
      <c r="D522" s="63"/>
      <c r="E522" s="63"/>
      <c r="F522" s="63"/>
      <c r="G522" s="63"/>
      <c r="H522" s="63"/>
    </row>
    <row r="523" spans="1:9" ht="36.75" x14ac:dyDescent="0.25">
      <c r="A523" s="46" t="s">
        <v>0</v>
      </c>
      <c r="B523" s="65" t="s">
        <v>35</v>
      </c>
      <c r="C523" s="65" t="s">
        <v>36</v>
      </c>
      <c r="D523" s="65" t="s">
        <v>279</v>
      </c>
      <c r="E523" s="65" t="s">
        <v>222</v>
      </c>
      <c r="F523" s="65" t="s">
        <v>273</v>
      </c>
      <c r="G523" s="66" t="s">
        <v>37</v>
      </c>
      <c r="H523" s="66" t="s">
        <v>1175</v>
      </c>
      <c r="I523" s="66" t="s">
        <v>209</v>
      </c>
    </row>
    <row r="524" spans="1:9" x14ac:dyDescent="0.25">
      <c r="A524" s="56">
        <v>1</v>
      </c>
      <c r="B524" s="243">
        <v>22100346</v>
      </c>
      <c r="C524" s="244" t="s">
        <v>566</v>
      </c>
      <c r="D524" s="241">
        <v>3000000</v>
      </c>
      <c r="E524" s="155">
        <v>0</v>
      </c>
      <c r="F524" s="155">
        <v>0</v>
      </c>
      <c r="G524" s="155">
        <v>0</v>
      </c>
      <c r="H524" s="50">
        <f>D524+G524-F524</f>
        <v>3000000</v>
      </c>
      <c r="I524" s="56"/>
    </row>
    <row r="525" spans="1:9" ht="23.25" x14ac:dyDescent="0.25">
      <c r="A525" s="56">
        <v>2</v>
      </c>
      <c r="B525" s="243">
        <v>22100347</v>
      </c>
      <c r="C525" s="244" t="s">
        <v>567</v>
      </c>
      <c r="D525" s="241">
        <v>2000000</v>
      </c>
      <c r="E525" s="155">
        <v>0</v>
      </c>
      <c r="F525" s="155">
        <v>0</v>
      </c>
      <c r="G525" s="155">
        <v>0</v>
      </c>
      <c r="H525" s="50">
        <f t="shared" ref="H525:H533" si="18">D525+G525-F525</f>
        <v>2000000</v>
      </c>
      <c r="I525" s="56"/>
    </row>
    <row r="526" spans="1:9" x14ac:dyDescent="0.25">
      <c r="A526" s="56">
        <v>3</v>
      </c>
      <c r="B526" s="243">
        <v>22100348</v>
      </c>
      <c r="C526" s="244" t="s">
        <v>568</v>
      </c>
      <c r="D526" s="241">
        <v>2000000</v>
      </c>
      <c r="E526" s="155">
        <v>0</v>
      </c>
      <c r="F526" s="155">
        <v>0</v>
      </c>
      <c r="G526" s="155">
        <v>0</v>
      </c>
      <c r="H526" s="50">
        <f t="shared" si="18"/>
        <v>2000000</v>
      </c>
      <c r="I526" s="56"/>
    </row>
    <row r="527" spans="1:9" ht="23.25" x14ac:dyDescent="0.25">
      <c r="A527" s="56">
        <v>4</v>
      </c>
      <c r="B527" s="243">
        <v>22100349</v>
      </c>
      <c r="C527" s="244" t="s">
        <v>569</v>
      </c>
      <c r="D527" s="241">
        <v>5000000</v>
      </c>
      <c r="E527" s="155">
        <v>0</v>
      </c>
      <c r="F527" s="155">
        <v>0</v>
      </c>
      <c r="G527" s="155">
        <v>0</v>
      </c>
      <c r="H527" s="50">
        <f t="shared" si="18"/>
        <v>5000000</v>
      </c>
      <c r="I527" s="56"/>
    </row>
    <row r="528" spans="1:9" ht="23.25" x14ac:dyDescent="0.25">
      <c r="A528" s="56">
        <v>5</v>
      </c>
      <c r="B528" s="243">
        <v>22100350</v>
      </c>
      <c r="C528" s="244" t="s">
        <v>570</v>
      </c>
      <c r="D528" s="241">
        <v>6000000</v>
      </c>
      <c r="E528" s="155">
        <v>0</v>
      </c>
      <c r="F528" s="155">
        <v>0</v>
      </c>
      <c r="G528" s="155">
        <v>0</v>
      </c>
      <c r="H528" s="50">
        <f t="shared" si="18"/>
        <v>6000000</v>
      </c>
      <c r="I528" s="56"/>
    </row>
    <row r="529" spans="1:9" x14ac:dyDescent="0.25">
      <c r="A529" s="56">
        <v>6</v>
      </c>
      <c r="B529" s="243">
        <v>22100351</v>
      </c>
      <c r="C529" s="244" t="s">
        <v>571</v>
      </c>
      <c r="D529" s="241">
        <v>1000000</v>
      </c>
      <c r="E529" s="155">
        <v>0</v>
      </c>
      <c r="F529" s="155">
        <v>0</v>
      </c>
      <c r="G529" s="155">
        <v>0</v>
      </c>
      <c r="H529" s="50">
        <f t="shared" si="18"/>
        <v>1000000</v>
      </c>
      <c r="I529" s="56"/>
    </row>
    <row r="530" spans="1:9" ht="23.25" x14ac:dyDescent="0.25">
      <c r="A530" s="56">
        <v>7</v>
      </c>
      <c r="B530" s="243">
        <v>22100352</v>
      </c>
      <c r="C530" s="244" t="s">
        <v>572</v>
      </c>
      <c r="D530" s="241">
        <v>2000000</v>
      </c>
      <c r="E530" s="155">
        <v>0</v>
      </c>
      <c r="F530" s="155">
        <v>0</v>
      </c>
      <c r="G530" s="155">
        <v>0</v>
      </c>
      <c r="H530" s="50">
        <f t="shared" si="18"/>
        <v>2000000</v>
      </c>
      <c r="I530" s="56"/>
    </row>
    <row r="531" spans="1:9" x14ac:dyDescent="0.25">
      <c r="A531" s="56">
        <v>8</v>
      </c>
      <c r="B531" s="243">
        <v>22100353</v>
      </c>
      <c r="C531" s="244" t="s">
        <v>573</v>
      </c>
      <c r="D531" s="241">
        <v>9500000</v>
      </c>
      <c r="E531" s="155">
        <v>0</v>
      </c>
      <c r="F531" s="155">
        <v>0</v>
      </c>
      <c r="G531" s="50">
        <v>17000000</v>
      </c>
      <c r="H531" s="50">
        <f t="shared" si="18"/>
        <v>26500000</v>
      </c>
      <c r="I531" s="56" t="s">
        <v>208</v>
      </c>
    </row>
    <row r="532" spans="1:9" x14ac:dyDescent="0.25">
      <c r="A532" s="56">
        <v>9</v>
      </c>
      <c r="B532" s="243">
        <v>22100354</v>
      </c>
      <c r="C532" s="244" t="s">
        <v>574</v>
      </c>
      <c r="D532" s="241">
        <v>100000000</v>
      </c>
      <c r="E532" s="155">
        <v>0</v>
      </c>
      <c r="F532" s="155">
        <v>60000000</v>
      </c>
      <c r="G532" s="155">
        <v>0</v>
      </c>
      <c r="H532" s="50">
        <f t="shared" si="18"/>
        <v>40000000</v>
      </c>
      <c r="I532" s="56"/>
    </row>
    <row r="533" spans="1:9" ht="23.25" x14ac:dyDescent="0.25">
      <c r="A533" s="56">
        <v>10</v>
      </c>
      <c r="B533" s="243">
        <v>22100355</v>
      </c>
      <c r="C533" s="244" t="s">
        <v>575</v>
      </c>
      <c r="D533" s="241">
        <v>2500000</v>
      </c>
      <c r="E533" s="155">
        <v>0</v>
      </c>
      <c r="F533" s="155">
        <v>0</v>
      </c>
      <c r="G533" s="155">
        <v>0</v>
      </c>
      <c r="H533" s="50">
        <f t="shared" si="18"/>
        <v>2500000</v>
      </c>
      <c r="I533" s="56"/>
    </row>
    <row r="534" spans="1:9" x14ac:dyDescent="0.25">
      <c r="A534" s="33"/>
      <c r="B534" s="31"/>
      <c r="C534" s="67" t="s">
        <v>38</v>
      </c>
      <c r="D534" s="73">
        <f>SUM(D524:D533)</f>
        <v>133000000</v>
      </c>
      <c r="E534" s="254">
        <f>SUM(E524:E533)</f>
        <v>0</v>
      </c>
      <c r="F534" s="252">
        <f>SUM(F524:F533)</f>
        <v>60000000</v>
      </c>
      <c r="G534" s="73">
        <f>SUM(G524:G533)</f>
        <v>17000000</v>
      </c>
      <c r="H534" s="73">
        <f>SUM(H524:H533)</f>
        <v>90000000</v>
      </c>
      <c r="I534" s="56"/>
    </row>
    <row r="546" spans="1:9" x14ac:dyDescent="0.25">
      <c r="A546" s="628" t="s">
        <v>276</v>
      </c>
      <c r="B546" s="628"/>
      <c r="C546" s="628"/>
      <c r="D546" s="628"/>
      <c r="E546" s="628"/>
      <c r="F546" s="628"/>
      <c r="G546" s="628"/>
      <c r="H546" s="628"/>
      <c r="I546" s="628"/>
    </row>
    <row r="547" spans="1:9" x14ac:dyDescent="0.25">
      <c r="A547" s="628" t="s">
        <v>1176</v>
      </c>
      <c r="B547" s="628"/>
      <c r="C547" s="628"/>
      <c r="D547" s="628"/>
      <c r="E547" s="628"/>
      <c r="F547" s="628"/>
      <c r="G547" s="628"/>
      <c r="H547" s="628"/>
      <c r="I547" s="628"/>
    </row>
    <row r="548" spans="1:9" x14ac:dyDescent="0.25">
      <c r="A548" s="628" t="s">
        <v>34</v>
      </c>
      <c r="B548" s="628"/>
      <c r="C548" s="628"/>
      <c r="D548" s="628"/>
      <c r="E548" s="628"/>
      <c r="F548" s="628"/>
      <c r="G548" s="628"/>
      <c r="H548" s="628"/>
      <c r="I548" s="628"/>
    </row>
    <row r="549" spans="1:9" x14ac:dyDescent="0.25">
      <c r="A549" s="265"/>
      <c r="B549" s="265"/>
      <c r="C549" s="265"/>
      <c r="D549" s="265"/>
      <c r="E549" s="265"/>
      <c r="F549" s="265"/>
      <c r="G549" s="265"/>
      <c r="H549" s="265"/>
    </row>
    <row r="550" spans="1:9" x14ac:dyDescent="0.25">
      <c r="A550" s="72" t="s">
        <v>419</v>
      </c>
      <c r="B550" s="62"/>
      <c r="C550" s="62"/>
      <c r="D550" s="62"/>
      <c r="E550" s="62"/>
      <c r="F550" s="62"/>
      <c r="G550" s="62"/>
      <c r="H550" s="63"/>
    </row>
    <row r="551" spans="1:9" x14ac:dyDescent="0.25">
      <c r="A551" s="63"/>
      <c r="B551" s="265"/>
      <c r="C551" s="63"/>
      <c r="D551" s="63"/>
      <c r="E551" s="63"/>
      <c r="F551" s="63"/>
      <c r="G551" s="63"/>
      <c r="H551" s="63"/>
    </row>
    <row r="552" spans="1:9" x14ac:dyDescent="0.25">
      <c r="A552" s="64" t="s">
        <v>418</v>
      </c>
      <c r="B552" s="64"/>
      <c r="C552" s="64"/>
      <c r="D552" s="63"/>
      <c r="E552" s="63"/>
      <c r="F552" s="63"/>
      <c r="G552" s="63"/>
      <c r="H552" s="63"/>
    </row>
    <row r="553" spans="1:9" ht="36.75" x14ac:dyDescent="0.25">
      <c r="A553" s="46" t="s">
        <v>0</v>
      </c>
      <c r="B553" s="65" t="s">
        <v>35</v>
      </c>
      <c r="C553" s="65" t="s">
        <v>36</v>
      </c>
      <c r="D553" s="65" t="s">
        <v>279</v>
      </c>
      <c r="E553" s="65" t="s">
        <v>222</v>
      </c>
      <c r="F553" s="65" t="s">
        <v>273</v>
      </c>
      <c r="G553" s="66" t="s">
        <v>37</v>
      </c>
      <c r="H553" s="66" t="s">
        <v>1175</v>
      </c>
      <c r="I553" s="66" t="s">
        <v>209</v>
      </c>
    </row>
    <row r="554" spans="1:9" ht="23.25" x14ac:dyDescent="0.25">
      <c r="A554" s="36">
        <v>1</v>
      </c>
      <c r="B554" s="243">
        <v>22100364</v>
      </c>
      <c r="C554" s="244" t="s">
        <v>420</v>
      </c>
      <c r="D554" s="241">
        <v>5000000</v>
      </c>
      <c r="E554" s="249">
        <v>4039482.79</v>
      </c>
      <c r="F554" s="249">
        <v>0</v>
      </c>
      <c r="G554" s="249">
        <v>2000000</v>
      </c>
      <c r="H554" s="50">
        <f>D554+G554</f>
        <v>7000000</v>
      </c>
      <c r="I554" s="56" t="s">
        <v>605</v>
      </c>
    </row>
    <row r="555" spans="1:9" x14ac:dyDescent="0.25">
      <c r="A555" s="33"/>
      <c r="B555" s="31"/>
      <c r="C555" s="67" t="s">
        <v>38</v>
      </c>
      <c r="D555" s="73">
        <f>SUM(D554:D554)</f>
        <v>5000000</v>
      </c>
      <c r="E555" s="73">
        <f>SUM(E554:E554)</f>
        <v>4039482.79</v>
      </c>
      <c r="F555" s="73">
        <f>SUM(F554:F554)</f>
        <v>0</v>
      </c>
      <c r="G555" s="73">
        <f>SUM(G554:G554)</f>
        <v>2000000</v>
      </c>
      <c r="H555" s="73">
        <f>SUM(H554:H554)</f>
        <v>7000000</v>
      </c>
      <c r="I555" s="33"/>
    </row>
    <row r="577" spans="1:9" x14ac:dyDescent="0.25">
      <c r="A577" s="628" t="s">
        <v>276</v>
      </c>
      <c r="B577" s="628"/>
      <c r="C577" s="628"/>
      <c r="D577" s="628"/>
      <c r="E577" s="628"/>
      <c r="F577" s="628"/>
      <c r="G577" s="628"/>
      <c r="H577" s="628"/>
      <c r="I577" s="628"/>
    </row>
    <row r="578" spans="1:9" x14ac:dyDescent="0.25">
      <c r="A578" s="628" t="s">
        <v>1176</v>
      </c>
      <c r="B578" s="628"/>
      <c r="C578" s="628"/>
      <c r="D578" s="628"/>
      <c r="E578" s="628"/>
      <c r="F578" s="628"/>
      <c r="G578" s="628"/>
      <c r="H578" s="628"/>
      <c r="I578" s="628"/>
    </row>
    <row r="579" spans="1:9" x14ac:dyDescent="0.25">
      <c r="A579" s="628" t="s">
        <v>34</v>
      </c>
      <c r="B579" s="628"/>
      <c r="C579" s="628"/>
      <c r="D579" s="628"/>
      <c r="E579" s="628"/>
      <c r="F579" s="628"/>
      <c r="G579" s="628"/>
      <c r="H579" s="628"/>
      <c r="I579" s="628"/>
    </row>
    <row r="580" spans="1:9" x14ac:dyDescent="0.25">
      <c r="A580" s="61"/>
      <c r="B580" s="61"/>
      <c r="C580" s="61"/>
      <c r="D580" s="61"/>
      <c r="E580" s="61"/>
      <c r="F580" s="231"/>
      <c r="G580" s="61"/>
      <c r="H580" s="61"/>
    </row>
    <row r="581" spans="1:9" x14ac:dyDescent="0.25">
      <c r="A581" s="72" t="s">
        <v>204</v>
      </c>
      <c r="B581" s="62"/>
      <c r="C581" s="62"/>
      <c r="D581" s="62"/>
      <c r="E581" s="62"/>
      <c r="F581" s="62"/>
      <c r="G581" s="62"/>
      <c r="H581" s="63"/>
    </row>
    <row r="582" spans="1:9" x14ac:dyDescent="0.25">
      <c r="A582" s="63"/>
      <c r="B582" s="61"/>
      <c r="C582" s="63"/>
      <c r="D582" s="63"/>
      <c r="E582" s="63"/>
      <c r="F582" s="63"/>
      <c r="G582" s="63"/>
      <c r="H582" s="63"/>
    </row>
    <row r="583" spans="1:9" x14ac:dyDescent="0.25">
      <c r="A583" s="64" t="s">
        <v>205</v>
      </c>
      <c r="B583" s="64"/>
      <c r="C583" s="64"/>
      <c r="D583" s="63"/>
      <c r="E583" s="63"/>
      <c r="F583" s="63"/>
      <c r="G583" s="63"/>
      <c r="H583" s="63"/>
    </row>
    <row r="584" spans="1:9" ht="36.75" x14ac:dyDescent="0.25">
      <c r="A584" s="46" t="s">
        <v>0</v>
      </c>
      <c r="B584" s="65" t="s">
        <v>35</v>
      </c>
      <c r="C584" s="65" t="s">
        <v>36</v>
      </c>
      <c r="D584" s="65" t="s">
        <v>279</v>
      </c>
      <c r="E584" s="65" t="s">
        <v>222</v>
      </c>
      <c r="F584" s="65" t="s">
        <v>273</v>
      </c>
      <c r="G584" s="66" t="s">
        <v>37</v>
      </c>
      <c r="H584" s="66" t="s">
        <v>1175</v>
      </c>
      <c r="I584" s="66" t="s">
        <v>209</v>
      </c>
    </row>
    <row r="585" spans="1:9" x14ac:dyDescent="0.25">
      <c r="A585" s="36">
        <v>1</v>
      </c>
      <c r="B585" s="243">
        <v>22100375</v>
      </c>
      <c r="C585" s="244" t="s">
        <v>176</v>
      </c>
      <c r="D585" s="241">
        <v>3000000</v>
      </c>
      <c r="E585" s="249">
        <v>0</v>
      </c>
      <c r="F585" s="249">
        <v>0</v>
      </c>
      <c r="G585" s="249">
        <v>0</v>
      </c>
      <c r="H585" s="50">
        <f t="shared" ref="H585:H603" si="19">D585+G585</f>
        <v>3000000</v>
      </c>
      <c r="I585" s="56"/>
    </row>
    <row r="586" spans="1:9" x14ac:dyDescent="0.25">
      <c r="A586" s="36">
        <v>2</v>
      </c>
      <c r="B586" s="243">
        <v>22100376</v>
      </c>
      <c r="C586" s="244" t="s">
        <v>177</v>
      </c>
      <c r="D586" s="241">
        <v>150000000</v>
      </c>
      <c r="E586" s="249">
        <v>0</v>
      </c>
      <c r="F586" s="249">
        <v>0</v>
      </c>
      <c r="G586" s="249">
        <v>0</v>
      </c>
      <c r="H586" s="50">
        <f t="shared" si="19"/>
        <v>150000000</v>
      </c>
      <c r="I586" s="56"/>
    </row>
    <row r="587" spans="1:9" x14ac:dyDescent="0.25">
      <c r="A587" s="36">
        <v>3</v>
      </c>
      <c r="B587" s="243">
        <v>22100377</v>
      </c>
      <c r="C587" s="244" t="s">
        <v>178</v>
      </c>
      <c r="D587" s="241">
        <v>400000000</v>
      </c>
      <c r="E587" s="249">
        <v>0</v>
      </c>
      <c r="F587" s="249">
        <v>0</v>
      </c>
      <c r="G587" s="249">
        <v>0</v>
      </c>
      <c r="H587" s="50">
        <f t="shared" si="19"/>
        <v>400000000</v>
      </c>
      <c r="I587" s="56"/>
    </row>
    <row r="588" spans="1:9" ht="23.25" x14ac:dyDescent="0.25">
      <c r="A588" s="36">
        <v>4</v>
      </c>
      <c r="B588" s="243">
        <v>22100378</v>
      </c>
      <c r="C588" s="244" t="s">
        <v>179</v>
      </c>
      <c r="D588" s="241">
        <v>100000000</v>
      </c>
      <c r="E588" s="249">
        <v>98972450.969999999</v>
      </c>
      <c r="F588" s="249">
        <v>0</v>
      </c>
      <c r="G588" s="249">
        <v>190000000</v>
      </c>
      <c r="H588" s="50">
        <f t="shared" si="19"/>
        <v>290000000</v>
      </c>
      <c r="I588" s="56" t="s">
        <v>208</v>
      </c>
    </row>
    <row r="589" spans="1:9" x14ac:dyDescent="0.25">
      <c r="A589" s="36">
        <v>5</v>
      </c>
      <c r="B589" s="243">
        <v>22100379</v>
      </c>
      <c r="C589" s="244" t="s">
        <v>180</v>
      </c>
      <c r="D589" s="241">
        <v>385000000</v>
      </c>
      <c r="E589" s="249">
        <v>0</v>
      </c>
      <c r="F589" s="249">
        <v>0</v>
      </c>
      <c r="G589" s="249">
        <v>0</v>
      </c>
      <c r="H589" s="50">
        <f t="shared" si="19"/>
        <v>385000000</v>
      </c>
      <c r="I589" s="56"/>
    </row>
    <row r="590" spans="1:9" x14ac:dyDescent="0.25">
      <c r="A590" s="36">
        <v>6</v>
      </c>
      <c r="B590" s="243">
        <v>22100380</v>
      </c>
      <c r="C590" s="244" t="s">
        <v>181</v>
      </c>
      <c r="D590" s="241">
        <v>150000000</v>
      </c>
      <c r="E590" s="249">
        <v>143817123.11000001</v>
      </c>
      <c r="F590" s="249">
        <v>0</v>
      </c>
      <c r="G590" s="249">
        <v>100000000</v>
      </c>
      <c r="H590" s="50">
        <f t="shared" si="19"/>
        <v>250000000</v>
      </c>
      <c r="I590" s="56" t="s">
        <v>208</v>
      </c>
    </row>
    <row r="591" spans="1:9" x14ac:dyDescent="0.25">
      <c r="A591" s="36">
        <v>7</v>
      </c>
      <c r="B591" s="243">
        <v>22100381</v>
      </c>
      <c r="C591" s="244" t="s">
        <v>182</v>
      </c>
      <c r="D591" s="241">
        <v>4000000000</v>
      </c>
      <c r="E591" s="249">
        <v>802348500</v>
      </c>
      <c r="F591" s="249">
        <v>0</v>
      </c>
      <c r="G591" s="387">
        <v>4500000000</v>
      </c>
      <c r="H591" s="50">
        <f t="shared" si="19"/>
        <v>8500000000</v>
      </c>
      <c r="I591" s="56" t="s">
        <v>208</v>
      </c>
    </row>
    <row r="592" spans="1:9" x14ac:dyDescent="0.25">
      <c r="A592" s="36">
        <v>8</v>
      </c>
      <c r="B592" s="243">
        <v>22100382</v>
      </c>
      <c r="C592" s="244" t="s">
        <v>183</v>
      </c>
      <c r="D592" s="241">
        <v>10000000</v>
      </c>
      <c r="E592" s="249">
        <v>9640000</v>
      </c>
      <c r="F592" s="249">
        <v>0</v>
      </c>
      <c r="G592" s="249">
        <v>2000000</v>
      </c>
      <c r="H592" s="60">
        <f t="shared" si="19"/>
        <v>12000000</v>
      </c>
      <c r="I592" s="56" t="s">
        <v>208</v>
      </c>
    </row>
    <row r="593" spans="1:9" ht="23.25" x14ac:dyDescent="0.25">
      <c r="A593" s="36">
        <v>9</v>
      </c>
      <c r="B593" s="243">
        <v>22100383</v>
      </c>
      <c r="C593" s="244" t="s">
        <v>184</v>
      </c>
      <c r="D593" s="241">
        <v>12000000</v>
      </c>
      <c r="E593" s="249">
        <v>9388000</v>
      </c>
      <c r="F593" s="249">
        <v>0</v>
      </c>
      <c r="G593" s="249">
        <v>5000000</v>
      </c>
      <c r="H593" s="50">
        <f t="shared" si="19"/>
        <v>17000000</v>
      </c>
      <c r="I593" s="56" t="s">
        <v>208</v>
      </c>
    </row>
    <row r="594" spans="1:9" ht="23.25" x14ac:dyDescent="0.25">
      <c r="A594" s="36">
        <v>10</v>
      </c>
      <c r="B594" s="243">
        <v>22100384</v>
      </c>
      <c r="C594" s="244" t="s">
        <v>185</v>
      </c>
      <c r="D594" s="241">
        <v>30000000</v>
      </c>
      <c r="E594" s="249">
        <v>0</v>
      </c>
      <c r="F594" s="249">
        <v>0</v>
      </c>
      <c r="G594" s="249">
        <v>2600000</v>
      </c>
      <c r="H594" s="50">
        <f t="shared" si="19"/>
        <v>32600000</v>
      </c>
      <c r="I594" s="56"/>
    </row>
    <row r="595" spans="1:9" x14ac:dyDescent="0.25">
      <c r="A595" s="36">
        <v>11</v>
      </c>
      <c r="B595" s="243">
        <v>22100385</v>
      </c>
      <c r="C595" s="244" t="s">
        <v>186</v>
      </c>
      <c r="D595" s="241">
        <v>10000000</v>
      </c>
      <c r="E595" s="249">
        <v>0</v>
      </c>
      <c r="F595" s="249">
        <v>0</v>
      </c>
      <c r="G595" s="249">
        <v>0</v>
      </c>
      <c r="H595" s="50">
        <f t="shared" si="19"/>
        <v>10000000</v>
      </c>
      <c r="I595" s="56"/>
    </row>
    <row r="596" spans="1:9" ht="23.25" x14ac:dyDescent="0.25">
      <c r="A596" s="36">
        <v>12</v>
      </c>
      <c r="B596" s="243">
        <v>22100386</v>
      </c>
      <c r="C596" s="244" t="s">
        <v>187</v>
      </c>
      <c r="D596" s="241">
        <v>12000000</v>
      </c>
      <c r="E596" s="249">
        <v>11918000</v>
      </c>
      <c r="F596" s="249">
        <v>0</v>
      </c>
      <c r="G596" s="249">
        <v>2000000</v>
      </c>
      <c r="H596" s="50">
        <f t="shared" si="19"/>
        <v>14000000</v>
      </c>
      <c r="I596" s="56" t="s">
        <v>208</v>
      </c>
    </row>
    <row r="597" spans="1:9" ht="23.25" x14ac:dyDescent="0.25">
      <c r="A597" s="36">
        <v>13</v>
      </c>
      <c r="B597" s="243">
        <v>22100387</v>
      </c>
      <c r="C597" s="244" t="s">
        <v>188</v>
      </c>
      <c r="D597" s="241">
        <v>13000000</v>
      </c>
      <c r="E597" s="249">
        <v>12650350</v>
      </c>
      <c r="F597" s="249">
        <v>0</v>
      </c>
      <c r="G597" s="249">
        <v>5000000</v>
      </c>
      <c r="H597" s="50">
        <f t="shared" si="19"/>
        <v>18000000</v>
      </c>
      <c r="I597" s="56" t="s">
        <v>208</v>
      </c>
    </row>
    <row r="598" spans="1:9" x14ac:dyDescent="0.25">
      <c r="A598" s="36">
        <v>14</v>
      </c>
      <c r="B598" s="243">
        <v>22100388</v>
      </c>
      <c r="C598" s="244" t="s">
        <v>189</v>
      </c>
      <c r="D598" s="241">
        <v>5000000</v>
      </c>
      <c r="E598" s="249">
        <v>0</v>
      </c>
      <c r="F598" s="249">
        <v>0</v>
      </c>
      <c r="G598" s="249">
        <v>0</v>
      </c>
      <c r="H598" s="50">
        <f t="shared" si="19"/>
        <v>5000000</v>
      </c>
      <c r="I598" s="56"/>
    </row>
    <row r="599" spans="1:9" x14ac:dyDescent="0.25">
      <c r="A599" s="36">
        <v>15</v>
      </c>
      <c r="B599" s="243">
        <v>22100389</v>
      </c>
      <c r="C599" s="244" t="s">
        <v>190</v>
      </c>
      <c r="D599" s="241">
        <v>3000000</v>
      </c>
      <c r="E599" s="249">
        <v>0</v>
      </c>
      <c r="F599" s="249">
        <v>0</v>
      </c>
      <c r="G599" s="249">
        <v>0</v>
      </c>
      <c r="H599" s="50">
        <f t="shared" si="19"/>
        <v>3000000</v>
      </c>
      <c r="I599" s="56"/>
    </row>
    <row r="600" spans="1:9" ht="23.25" x14ac:dyDescent="0.25">
      <c r="A600" s="36">
        <v>16</v>
      </c>
      <c r="B600" s="243">
        <v>22100390</v>
      </c>
      <c r="C600" s="244" t="s">
        <v>191</v>
      </c>
      <c r="D600" s="241">
        <v>30000000</v>
      </c>
      <c r="E600" s="249">
        <v>0</v>
      </c>
      <c r="F600" s="249">
        <v>0</v>
      </c>
      <c r="G600" s="249">
        <v>0</v>
      </c>
      <c r="H600" s="50">
        <f t="shared" si="19"/>
        <v>30000000</v>
      </c>
      <c r="I600" s="56"/>
    </row>
    <row r="601" spans="1:9" x14ac:dyDescent="0.25">
      <c r="A601" s="36">
        <v>17</v>
      </c>
      <c r="B601" s="243">
        <v>22100392</v>
      </c>
      <c r="C601" s="244" t="s">
        <v>192</v>
      </c>
      <c r="D601" s="241">
        <v>5000000</v>
      </c>
      <c r="E601" s="249">
        <v>4986000</v>
      </c>
      <c r="F601" s="249">
        <v>0</v>
      </c>
      <c r="G601" s="249">
        <v>2000000</v>
      </c>
      <c r="H601" s="50">
        <f t="shared" si="19"/>
        <v>7000000</v>
      </c>
      <c r="I601" s="56" t="s">
        <v>208</v>
      </c>
    </row>
    <row r="602" spans="1:9" ht="23.25" x14ac:dyDescent="0.25">
      <c r="A602" s="36">
        <v>18</v>
      </c>
      <c r="B602" s="243">
        <v>22100393</v>
      </c>
      <c r="C602" s="244" t="s">
        <v>193</v>
      </c>
      <c r="D602" s="241">
        <v>50000000</v>
      </c>
      <c r="E602" s="249">
        <v>0</v>
      </c>
      <c r="F602" s="155">
        <v>0</v>
      </c>
      <c r="G602" s="37">
        <v>0</v>
      </c>
      <c r="H602" s="50">
        <f t="shared" si="19"/>
        <v>50000000</v>
      </c>
      <c r="I602" s="56"/>
    </row>
    <row r="603" spans="1:9" ht="23.25" x14ac:dyDescent="0.25">
      <c r="A603" s="36">
        <v>19</v>
      </c>
      <c r="B603" s="243">
        <v>22100394</v>
      </c>
      <c r="C603" s="244" t="s">
        <v>194</v>
      </c>
      <c r="D603" s="241">
        <v>2000000</v>
      </c>
      <c r="E603" s="249">
        <v>1937000</v>
      </c>
      <c r="F603" s="155">
        <v>0</v>
      </c>
      <c r="G603" s="37">
        <v>7000000</v>
      </c>
      <c r="H603" s="50">
        <f t="shared" si="19"/>
        <v>9000000</v>
      </c>
      <c r="I603" s="56" t="s">
        <v>208</v>
      </c>
    </row>
    <row r="604" spans="1:9" x14ac:dyDescent="0.25">
      <c r="A604" s="39"/>
      <c r="B604" s="157"/>
      <c r="C604" s="158"/>
      <c r="D604" s="159"/>
      <c r="E604" s="199"/>
      <c r="F604" s="199"/>
      <c r="G604" s="160"/>
      <c r="H604" s="189"/>
      <c r="I604" s="200"/>
    </row>
    <row r="605" spans="1:9" ht="36.75" x14ac:dyDescent="0.25">
      <c r="A605" s="201" t="s">
        <v>0</v>
      </c>
      <c r="B605" s="65" t="s">
        <v>35</v>
      </c>
      <c r="C605" s="65" t="s">
        <v>36</v>
      </c>
      <c r="D605" s="65" t="s">
        <v>279</v>
      </c>
      <c r="E605" s="65" t="s">
        <v>222</v>
      </c>
      <c r="F605" s="65" t="s">
        <v>273</v>
      </c>
      <c r="G605" s="65" t="s">
        <v>37</v>
      </c>
      <c r="H605" s="66" t="s">
        <v>1175</v>
      </c>
      <c r="I605" s="65" t="s">
        <v>209</v>
      </c>
    </row>
    <row r="606" spans="1:9" ht="23.25" x14ac:dyDescent="0.25">
      <c r="A606" s="36">
        <v>20</v>
      </c>
      <c r="B606" s="243">
        <v>22100395</v>
      </c>
      <c r="C606" s="244" t="s">
        <v>195</v>
      </c>
      <c r="D606" s="241">
        <v>1000000</v>
      </c>
      <c r="E606" s="249">
        <v>0</v>
      </c>
      <c r="F606" s="249">
        <v>0</v>
      </c>
      <c r="G606" s="249">
        <v>0</v>
      </c>
      <c r="H606" s="50">
        <f t="shared" ref="H606:H614" si="20">D606+G606</f>
        <v>1000000</v>
      </c>
      <c r="I606" s="69"/>
    </row>
    <row r="607" spans="1:9" ht="23.25" x14ac:dyDescent="0.25">
      <c r="A607" s="36">
        <v>21</v>
      </c>
      <c r="B607" s="243">
        <v>22100396</v>
      </c>
      <c r="C607" s="244" t="s">
        <v>196</v>
      </c>
      <c r="D607" s="241">
        <v>1000000</v>
      </c>
      <c r="E607" s="249">
        <v>0</v>
      </c>
      <c r="F607" s="249">
        <v>0</v>
      </c>
      <c r="G607" s="249">
        <v>0</v>
      </c>
      <c r="H607" s="50">
        <f t="shared" si="20"/>
        <v>1000000</v>
      </c>
      <c r="I607" s="114"/>
    </row>
    <row r="608" spans="1:9" x14ac:dyDescent="0.25">
      <c r="A608" s="36">
        <v>22</v>
      </c>
      <c r="B608" s="243">
        <v>22100398</v>
      </c>
      <c r="C608" s="244" t="s">
        <v>197</v>
      </c>
      <c r="D608" s="241">
        <v>43000000</v>
      </c>
      <c r="E608" s="249">
        <v>0</v>
      </c>
      <c r="F608" s="249">
        <v>0</v>
      </c>
      <c r="G608" s="249">
        <v>20000000</v>
      </c>
      <c r="H608" s="50">
        <f t="shared" si="20"/>
        <v>63000000</v>
      </c>
      <c r="I608" s="56" t="s">
        <v>208</v>
      </c>
    </row>
    <row r="609" spans="1:9" x14ac:dyDescent="0.25">
      <c r="A609" s="36">
        <v>23</v>
      </c>
      <c r="B609" s="243">
        <v>22100399</v>
      </c>
      <c r="C609" s="244" t="s">
        <v>198</v>
      </c>
      <c r="D609" s="241">
        <v>3000000</v>
      </c>
      <c r="E609" s="249">
        <v>0</v>
      </c>
      <c r="F609" s="249">
        <v>0</v>
      </c>
      <c r="G609" s="249">
        <v>0</v>
      </c>
      <c r="H609" s="50">
        <f t="shared" si="20"/>
        <v>3000000</v>
      </c>
      <c r="I609" s="69"/>
    </row>
    <row r="610" spans="1:9" x14ac:dyDescent="0.25">
      <c r="A610" s="36">
        <v>24</v>
      </c>
      <c r="B610" s="243">
        <v>22100401</v>
      </c>
      <c r="C610" s="244" t="s">
        <v>199</v>
      </c>
      <c r="D610" s="241">
        <v>2000000</v>
      </c>
      <c r="E610" s="249">
        <v>0</v>
      </c>
      <c r="F610" s="249">
        <v>0</v>
      </c>
      <c r="G610" s="249">
        <v>0</v>
      </c>
      <c r="H610" s="50">
        <f t="shared" si="20"/>
        <v>2000000</v>
      </c>
      <c r="I610" s="69"/>
    </row>
    <row r="611" spans="1:9" ht="23.25" x14ac:dyDescent="0.25">
      <c r="A611" s="36">
        <v>25</v>
      </c>
      <c r="B611" s="243">
        <v>22100657</v>
      </c>
      <c r="C611" s="244" t="s">
        <v>200</v>
      </c>
      <c r="D611" s="241">
        <v>10000000</v>
      </c>
      <c r="E611" s="249">
        <v>0</v>
      </c>
      <c r="F611" s="249">
        <v>0</v>
      </c>
      <c r="G611" s="249">
        <v>0</v>
      </c>
      <c r="H611" s="50">
        <f t="shared" si="20"/>
        <v>10000000</v>
      </c>
      <c r="I611" s="114"/>
    </row>
    <row r="612" spans="1:9" ht="23.25" x14ac:dyDescent="0.25">
      <c r="A612" s="36">
        <v>26</v>
      </c>
      <c r="B612" s="243">
        <v>22100659</v>
      </c>
      <c r="C612" s="244" t="s">
        <v>201</v>
      </c>
      <c r="D612" s="241">
        <v>15000000</v>
      </c>
      <c r="E612" s="249">
        <v>9600000</v>
      </c>
      <c r="F612" s="60">
        <v>0</v>
      </c>
      <c r="G612" s="37">
        <v>5000000</v>
      </c>
      <c r="H612" s="50">
        <f t="shared" si="20"/>
        <v>20000000</v>
      </c>
      <c r="I612" s="56" t="s">
        <v>208</v>
      </c>
    </row>
    <row r="613" spans="1:9" x14ac:dyDescent="0.25">
      <c r="A613" s="36">
        <v>27</v>
      </c>
      <c r="B613" s="243">
        <v>22100660</v>
      </c>
      <c r="C613" s="244" t="s">
        <v>202</v>
      </c>
      <c r="D613" s="241">
        <v>10000000</v>
      </c>
      <c r="E613" s="249">
        <v>9993000</v>
      </c>
      <c r="F613" s="60">
        <v>0</v>
      </c>
      <c r="G613" s="37">
        <v>2400000</v>
      </c>
      <c r="H613" s="50">
        <f t="shared" si="20"/>
        <v>12400000</v>
      </c>
      <c r="I613" s="56" t="s">
        <v>208</v>
      </c>
    </row>
    <row r="614" spans="1:9" x14ac:dyDescent="0.25">
      <c r="A614" s="36">
        <v>28</v>
      </c>
      <c r="B614" s="243">
        <v>22100661</v>
      </c>
      <c r="C614" s="244" t="s">
        <v>203</v>
      </c>
      <c r="D614" s="241">
        <v>10000000</v>
      </c>
      <c r="E614" s="249">
        <v>0</v>
      </c>
      <c r="F614" s="60">
        <v>0</v>
      </c>
      <c r="G614" s="37">
        <v>0</v>
      </c>
      <c r="H614" s="50">
        <f t="shared" si="20"/>
        <v>10000000</v>
      </c>
      <c r="I614" s="69"/>
    </row>
    <row r="615" spans="1:9" x14ac:dyDescent="0.25">
      <c r="A615" s="69"/>
      <c r="B615" s="71"/>
      <c r="C615" s="49" t="s">
        <v>38</v>
      </c>
      <c r="D615" s="154">
        <f>SUM(D585:D614)</f>
        <v>5465000000</v>
      </c>
      <c r="E615" s="73">
        <f>SUM(E585:E614)</f>
        <v>1115250424.0799999</v>
      </c>
      <c r="F615" s="254">
        <f>SUM(F585:F614)</f>
        <v>0</v>
      </c>
      <c r="G615" s="268">
        <f>SUM(G585:G614)</f>
        <v>4843000000</v>
      </c>
      <c r="H615" s="267">
        <f>SUM(H585:H614)</f>
        <v>10308000000</v>
      </c>
      <c r="I615" s="69"/>
    </row>
    <row r="637" spans="1:9" x14ac:dyDescent="0.25">
      <c r="A637" s="628" t="s">
        <v>276</v>
      </c>
      <c r="B637" s="628"/>
      <c r="C637" s="628"/>
      <c r="D637" s="628"/>
      <c r="E637" s="628"/>
      <c r="F637" s="628"/>
      <c r="G637" s="628"/>
      <c r="H637" s="628"/>
      <c r="I637" s="628"/>
    </row>
    <row r="638" spans="1:9" x14ac:dyDescent="0.25">
      <c r="A638" s="628" t="s">
        <v>1176</v>
      </c>
      <c r="B638" s="628"/>
      <c r="C638" s="628"/>
      <c r="D638" s="628"/>
      <c r="E638" s="628"/>
      <c r="F638" s="628"/>
      <c r="G638" s="628"/>
      <c r="H638" s="628"/>
      <c r="I638" s="628"/>
    </row>
    <row r="639" spans="1:9" x14ac:dyDescent="0.25">
      <c r="A639" s="628" t="s">
        <v>34</v>
      </c>
      <c r="B639" s="628"/>
      <c r="C639" s="628"/>
      <c r="D639" s="628"/>
      <c r="E639" s="628"/>
      <c r="F639" s="628"/>
      <c r="G639" s="628"/>
      <c r="H639" s="628"/>
      <c r="I639" s="628"/>
    </row>
    <row r="640" spans="1:9" x14ac:dyDescent="0.25">
      <c r="A640" s="265"/>
      <c r="B640" s="265"/>
      <c r="C640" s="265"/>
      <c r="D640" s="265"/>
      <c r="E640" s="265"/>
      <c r="F640" s="265"/>
      <c r="G640" s="265"/>
      <c r="H640" s="265"/>
    </row>
    <row r="641" spans="1:9" x14ac:dyDescent="0.25">
      <c r="A641" s="62" t="s">
        <v>350</v>
      </c>
      <c r="B641" s="62"/>
      <c r="C641" s="62"/>
      <c r="D641" s="62"/>
      <c r="E641" s="62"/>
      <c r="F641" s="62"/>
      <c r="G641" s="62"/>
      <c r="H641" s="63"/>
    </row>
    <row r="642" spans="1:9" x14ac:dyDescent="0.25">
      <c r="A642" s="63"/>
      <c r="B642" s="265"/>
      <c r="C642" s="63"/>
      <c r="D642" s="63"/>
      <c r="E642" s="63"/>
      <c r="F642" s="63"/>
      <c r="G642" s="63"/>
      <c r="H642" s="63"/>
    </row>
    <row r="643" spans="1:9" x14ac:dyDescent="0.25">
      <c r="A643" s="64" t="s">
        <v>349</v>
      </c>
      <c r="B643" s="64"/>
      <c r="C643" s="64"/>
      <c r="D643" s="63"/>
      <c r="E643" s="63"/>
      <c r="F643" s="63"/>
      <c r="G643" s="63"/>
      <c r="H643" s="63"/>
    </row>
    <row r="644" spans="1:9" ht="36.75" x14ac:dyDescent="0.25">
      <c r="A644" s="46" t="s">
        <v>0</v>
      </c>
      <c r="B644" s="65" t="s">
        <v>35</v>
      </c>
      <c r="C644" s="65" t="s">
        <v>36</v>
      </c>
      <c r="D644" s="65" t="s">
        <v>279</v>
      </c>
      <c r="E644" s="65" t="s">
        <v>222</v>
      </c>
      <c r="F644" s="65" t="s">
        <v>273</v>
      </c>
      <c r="G644" s="66" t="s">
        <v>37</v>
      </c>
      <c r="H644" s="66" t="s">
        <v>1175</v>
      </c>
      <c r="I644" s="66" t="s">
        <v>209</v>
      </c>
    </row>
    <row r="645" spans="1:9" ht="23.25" x14ac:dyDescent="0.25">
      <c r="A645" s="56">
        <v>1</v>
      </c>
      <c r="B645" s="243">
        <v>22100408</v>
      </c>
      <c r="C645" s="244" t="s">
        <v>345</v>
      </c>
      <c r="D645" s="241">
        <v>12000000</v>
      </c>
      <c r="E645" s="155">
        <v>0</v>
      </c>
      <c r="F645" s="155">
        <v>0</v>
      </c>
      <c r="G645" s="155">
        <v>0</v>
      </c>
      <c r="H645" s="50">
        <f t="shared" ref="H645:H653" si="21">D645+G645</f>
        <v>12000000</v>
      </c>
      <c r="I645" s="33"/>
    </row>
    <row r="646" spans="1:9" ht="34.5" x14ac:dyDescent="0.25">
      <c r="A646" s="56">
        <v>2</v>
      </c>
      <c r="B646" s="243">
        <v>22100409</v>
      </c>
      <c r="C646" s="244" t="s">
        <v>351</v>
      </c>
      <c r="D646" s="241">
        <v>80000000</v>
      </c>
      <c r="E646" s="155">
        <v>76590383.269999996</v>
      </c>
      <c r="F646" s="155">
        <v>0</v>
      </c>
      <c r="G646" s="155">
        <v>140000000</v>
      </c>
      <c r="H646" s="50">
        <f t="shared" si="21"/>
        <v>220000000</v>
      </c>
      <c r="I646" s="56" t="s">
        <v>208</v>
      </c>
    </row>
    <row r="647" spans="1:9" x14ac:dyDescent="0.25">
      <c r="A647" s="56">
        <v>3</v>
      </c>
      <c r="B647" s="243">
        <v>22100410</v>
      </c>
      <c r="C647" s="244" t="s">
        <v>352</v>
      </c>
      <c r="D647" s="241">
        <v>1258000000</v>
      </c>
      <c r="E647" s="155">
        <v>1255472211.4000001</v>
      </c>
      <c r="F647" s="155">
        <v>0</v>
      </c>
      <c r="G647" s="266">
        <v>1900000000</v>
      </c>
      <c r="H647" s="50">
        <f t="shared" si="21"/>
        <v>3158000000</v>
      </c>
      <c r="I647" s="56" t="s">
        <v>208</v>
      </c>
    </row>
    <row r="648" spans="1:9" x14ac:dyDescent="0.25">
      <c r="A648" s="56">
        <v>4</v>
      </c>
      <c r="B648" s="243">
        <v>22100411</v>
      </c>
      <c r="C648" s="244" t="s">
        <v>353</v>
      </c>
      <c r="D648" s="241">
        <v>3000000</v>
      </c>
      <c r="E648" s="155">
        <v>0</v>
      </c>
      <c r="F648" s="155">
        <v>0</v>
      </c>
      <c r="G648" s="155">
        <v>0</v>
      </c>
      <c r="H648" s="50">
        <f t="shared" si="21"/>
        <v>3000000</v>
      </c>
      <c r="I648" s="33"/>
    </row>
    <row r="649" spans="1:9" x14ac:dyDescent="0.25">
      <c r="A649" s="56">
        <v>5</v>
      </c>
      <c r="B649" s="243">
        <v>22100412</v>
      </c>
      <c r="C649" s="244" t="s">
        <v>354</v>
      </c>
      <c r="D649" s="241">
        <v>3000000</v>
      </c>
      <c r="E649" s="155">
        <v>0</v>
      </c>
      <c r="F649" s="155">
        <v>0</v>
      </c>
      <c r="G649" s="155">
        <v>0</v>
      </c>
      <c r="H649" s="50">
        <f t="shared" si="21"/>
        <v>3000000</v>
      </c>
      <c r="I649" s="33"/>
    </row>
    <row r="650" spans="1:9" ht="23.25" x14ac:dyDescent="0.25">
      <c r="A650" s="56">
        <v>6</v>
      </c>
      <c r="B650" s="243">
        <v>22100413</v>
      </c>
      <c r="C650" s="244" t="s">
        <v>355</v>
      </c>
      <c r="D650" s="241">
        <v>5000000</v>
      </c>
      <c r="E650" s="155">
        <v>4685000</v>
      </c>
      <c r="F650" s="155">
        <v>0</v>
      </c>
      <c r="G650" s="155">
        <v>6000000</v>
      </c>
      <c r="H650" s="50">
        <f t="shared" si="21"/>
        <v>11000000</v>
      </c>
      <c r="I650" s="56" t="s">
        <v>208</v>
      </c>
    </row>
    <row r="651" spans="1:9" ht="23.25" x14ac:dyDescent="0.25">
      <c r="A651" s="56">
        <v>7</v>
      </c>
      <c r="B651" s="243">
        <v>22100414</v>
      </c>
      <c r="C651" s="244" t="s">
        <v>356</v>
      </c>
      <c r="D651" s="241">
        <v>25000000</v>
      </c>
      <c r="E651" s="155">
        <v>0</v>
      </c>
      <c r="F651" s="155">
        <v>0</v>
      </c>
      <c r="G651" s="155">
        <v>10000000</v>
      </c>
      <c r="H651" s="50">
        <f t="shared" si="21"/>
        <v>35000000</v>
      </c>
      <c r="I651" s="423" t="s">
        <v>208</v>
      </c>
    </row>
    <row r="652" spans="1:9" x14ac:dyDescent="0.25">
      <c r="A652" s="56">
        <v>8</v>
      </c>
      <c r="B652" s="243">
        <v>22100415</v>
      </c>
      <c r="C652" s="244" t="s">
        <v>357</v>
      </c>
      <c r="D652" s="241">
        <v>10000000</v>
      </c>
      <c r="E652" s="155">
        <v>0</v>
      </c>
      <c r="F652" s="155">
        <v>0</v>
      </c>
      <c r="G652" s="155">
        <v>0</v>
      </c>
      <c r="H652" s="50">
        <f t="shared" si="21"/>
        <v>10000000</v>
      </c>
      <c r="I652" s="33"/>
    </row>
    <row r="653" spans="1:9" ht="23.25" x14ac:dyDescent="0.25">
      <c r="A653" s="56">
        <v>9</v>
      </c>
      <c r="B653" s="243">
        <v>22100416</v>
      </c>
      <c r="C653" s="244" t="s">
        <v>358</v>
      </c>
      <c r="D653" s="241">
        <v>4000000</v>
      </c>
      <c r="E653" s="155">
        <v>0</v>
      </c>
      <c r="F653" s="155">
        <v>0</v>
      </c>
      <c r="G653" s="155">
        <v>0</v>
      </c>
      <c r="H653" s="50">
        <f t="shared" si="21"/>
        <v>4000000</v>
      </c>
      <c r="I653" s="33"/>
    </row>
    <row r="654" spans="1:9" x14ac:dyDescent="0.25">
      <c r="A654" s="33"/>
      <c r="B654" s="31"/>
      <c r="C654" s="67" t="s">
        <v>38</v>
      </c>
      <c r="D654" s="73">
        <f>SUM(D645:D653)</f>
        <v>1400000000</v>
      </c>
      <c r="E654" s="73">
        <f t="shared" ref="E654:G654" si="22">SUM(E645:E653)</f>
        <v>1336747594.6700001</v>
      </c>
      <c r="F654" s="254">
        <f t="shared" si="22"/>
        <v>0</v>
      </c>
      <c r="G654" s="73">
        <f t="shared" si="22"/>
        <v>2056000000</v>
      </c>
      <c r="H654" s="73">
        <f>SUM(H645:H653)</f>
        <v>3456000000</v>
      </c>
      <c r="I654" s="33"/>
    </row>
    <row r="666" spans="1:9" x14ac:dyDescent="0.25">
      <c r="A666" s="628" t="s">
        <v>276</v>
      </c>
      <c r="B666" s="628"/>
      <c r="C666" s="628"/>
      <c r="D666" s="628"/>
      <c r="E666" s="628"/>
      <c r="F666" s="628"/>
      <c r="G666" s="628"/>
      <c r="H666" s="628"/>
      <c r="I666" s="628"/>
    </row>
    <row r="667" spans="1:9" x14ac:dyDescent="0.25">
      <c r="A667" s="628" t="s">
        <v>1176</v>
      </c>
      <c r="B667" s="628"/>
      <c r="C667" s="628"/>
      <c r="D667" s="628"/>
      <c r="E667" s="628"/>
      <c r="F667" s="628"/>
      <c r="G667" s="628"/>
      <c r="H667" s="628"/>
      <c r="I667" s="628"/>
    </row>
    <row r="668" spans="1:9" x14ac:dyDescent="0.25">
      <c r="A668" s="628" t="s">
        <v>34</v>
      </c>
      <c r="B668" s="628"/>
      <c r="C668" s="628"/>
      <c r="D668" s="628"/>
      <c r="E668" s="628"/>
      <c r="F668" s="628"/>
      <c r="G668" s="628"/>
      <c r="H668" s="628"/>
      <c r="I668" s="628"/>
    </row>
    <row r="669" spans="1:9" x14ac:dyDescent="0.25">
      <c r="A669" s="393"/>
      <c r="B669" s="393"/>
      <c r="C669" s="393"/>
      <c r="D669" s="393"/>
      <c r="E669" s="393"/>
      <c r="F669" s="393"/>
      <c r="G669" s="393"/>
      <c r="H669" s="393"/>
    </row>
    <row r="670" spans="1:9" x14ac:dyDescent="0.25">
      <c r="A670" s="72" t="s">
        <v>1092</v>
      </c>
      <c r="B670" s="62"/>
      <c r="C670" s="62"/>
      <c r="D670" s="62"/>
      <c r="E670" s="62"/>
      <c r="F670" s="62"/>
      <c r="G670" s="62"/>
      <c r="H670" s="63"/>
    </row>
    <row r="671" spans="1:9" x14ac:dyDescent="0.25">
      <c r="A671" s="63"/>
      <c r="B671" s="393"/>
      <c r="C671" s="63"/>
      <c r="D671" s="63"/>
      <c r="E671" s="63"/>
      <c r="F671" s="63"/>
      <c r="G671" s="63"/>
      <c r="H671" s="63"/>
    </row>
    <row r="672" spans="1:9" x14ac:dyDescent="0.25">
      <c r="A672" s="64" t="s">
        <v>1091</v>
      </c>
      <c r="B672" s="64"/>
      <c r="C672" s="64"/>
      <c r="D672" s="63"/>
      <c r="E672" s="63"/>
      <c r="F672" s="63"/>
      <c r="G672" s="63"/>
      <c r="H672" s="63"/>
    </row>
    <row r="673" spans="1:9" ht="36.75" x14ac:dyDescent="0.25">
      <c r="A673" s="46" t="s">
        <v>0</v>
      </c>
      <c r="B673" s="65" t="s">
        <v>35</v>
      </c>
      <c r="C673" s="65" t="s">
        <v>36</v>
      </c>
      <c r="D673" s="65" t="s">
        <v>279</v>
      </c>
      <c r="E673" s="65" t="s">
        <v>222</v>
      </c>
      <c r="F673" s="65" t="s">
        <v>273</v>
      </c>
      <c r="G673" s="66" t="s">
        <v>37</v>
      </c>
      <c r="H673" s="66" t="s">
        <v>1175</v>
      </c>
      <c r="I673" s="66" t="s">
        <v>209</v>
      </c>
    </row>
    <row r="674" spans="1:9" ht="23.25" x14ac:dyDescent="0.25">
      <c r="A674" s="36">
        <v>1</v>
      </c>
      <c r="B674" s="243">
        <v>22100265</v>
      </c>
      <c r="C674" s="244" t="s">
        <v>1093</v>
      </c>
      <c r="D674" s="241">
        <v>60000000</v>
      </c>
      <c r="E674" s="485">
        <v>0</v>
      </c>
      <c r="F674" s="485">
        <v>0</v>
      </c>
      <c r="G674" s="248">
        <v>0</v>
      </c>
      <c r="H674" s="50">
        <f t="shared" ref="H674:H691" si="23">D674+G674-F674</f>
        <v>60000000</v>
      </c>
      <c r="I674" s="56"/>
    </row>
    <row r="675" spans="1:9" x14ac:dyDescent="0.25">
      <c r="A675" s="36">
        <v>2</v>
      </c>
      <c r="B675" s="243">
        <v>22100397</v>
      </c>
      <c r="C675" s="244" t="s">
        <v>1094</v>
      </c>
      <c r="D675" s="241">
        <v>20000000</v>
      </c>
      <c r="E675" s="485">
        <v>0</v>
      </c>
      <c r="F675" s="485">
        <v>0</v>
      </c>
      <c r="G675" s="248">
        <v>0</v>
      </c>
      <c r="H675" s="50">
        <f t="shared" si="23"/>
        <v>20000000</v>
      </c>
      <c r="I675" s="56"/>
    </row>
    <row r="676" spans="1:9" ht="23.25" x14ac:dyDescent="0.25">
      <c r="A676" s="36">
        <v>3</v>
      </c>
      <c r="B676" s="243">
        <v>22100408</v>
      </c>
      <c r="C676" s="244" t="s">
        <v>345</v>
      </c>
      <c r="D676" s="241">
        <v>10000000</v>
      </c>
      <c r="E676" s="485">
        <v>0</v>
      </c>
      <c r="F676" s="485">
        <v>0</v>
      </c>
      <c r="G676" s="248">
        <v>0</v>
      </c>
      <c r="H676" s="50">
        <f t="shared" si="23"/>
        <v>10000000</v>
      </c>
      <c r="I676" s="56"/>
    </row>
    <row r="677" spans="1:9" x14ac:dyDescent="0.25">
      <c r="A677" s="36">
        <v>4</v>
      </c>
      <c r="B677" s="243">
        <v>22100446</v>
      </c>
      <c r="C677" s="244" t="s">
        <v>1095</v>
      </c>
      <c r="D677" s="241">
        <v>7000000</v>
      </c>
      <c r="E677" s="485">
        <v>0</v>
      </c>
      <c r="F677" s="485">
        <v>0</v>
      </c>
      <c r="G677" s="248">
        <v>0</v>
      </c>
      <c r="H677" s="50">
        <f t="shared" si="23"/>
        <v>7000000</v>
      </c>
      <c r="I677" s="56"/>
    </row>
    <row r="678" spans="1:9" ht="23.25" x14ac:dyDescent="0.25">
      <c r="A678" s="36">
        <v>5</v>
      </c>
      <c r="B678" s="243">
        <v>22100447</v>
      </c>
      <c r="C678" s="244" t="s">
        <v>1096</v>
      </c>
      <c r="D678" s="241">
        <v>1000000</v>
      </c>
      <c r="E678" s="485">
        <v>0</v>
      </c>
      <c r="F678" s="485">
        <v>0</v>
      </c>
      <c r="G678" s="248">
        <v>0</v>
      </c>
      <c r="H678" s="50">
        <f t="shared" si="23"/>
        <v>1000000</v>
      </c>
      <c r="I678" s="56"/>
    </row>
    <row r="679" spans="1:9" x14ac:dyDescent="0.25">
      <c r="A679" s="36">
        <v>6</v>
      </c>
      <c r="B679" s="243">
        <v>22100448</v>
      </c>
      <c r="C679" s="244" t="s">
        <v>1097</v>
      </c>
      <c r="D679" s="241">
        <v>2000000</v>
      </c>
      <c r="E679" s="485">
        <v>0</v>
      </c>
      <c r="F679" s="485">
        <v>0</v>
      </c>
      <c r="G679" s="248">
        <v>0</v>
      </c>
      <c r="H679" s="50">
        <f t="shared" si="23"/>
        <v>2000000</v>
      </c>
      <c r="I679" s="56"/>
    </row>
    <row r="680" spans="1:9" x14ac:dyDescent="0.25">
      <c r="A680" s="36">
        <v>7</v>
      </c>
      <c r="B680" s="243">
        <v>22100449</v>
      </c>
      <c r="C680" s="244" t="s">
        <v>1098</v>
      </c>
      <c r="D680" s="241">
        <v>1000000</v>
      </c>
      <c r="E680" s="485">
        <v>0</v>
      </c>
      <c r="F680" s="485">
        <v>0</v>
      </c>
      <c r="G680" s="248">
        <v>0</v>
      </c>
      <c r="H680" s="50">
        <f t="shared" si="23"/>
        <v>1000000</v>
      </c>
      <c r="I680" s="83"/>
    </row>
    <row r="681" spans="1:9" x14ac:dyDescent="0.25">
      <c r="A681" s="36">
        <v>8</v>
      </c>
      <c r="B681" s="243">
        <v>22100450</v>
      </c>
      <c r="C681" s="244" t="s">
        <v>1099</v>
      </c>
      <c r="D681" s="241">
        <v>116000000</v>
      </c>
      <c r="E681" s="485">
        <v>0</v>
      </c>
      <c r="F681" s="485">
        <v>0</v>
      </c>
      <c r="G681" s="248">
        <v>0</v>
      </c>
      <c r="H681" s="50">
        <f>D681+G681-F681-50000000</f>
        <v>66000000</v>
      </c>
      <c r="I681" s="56"/>
    </row>
    <row r="682" spans="1:9" ht="23.25" x14ac:dyDescent="0.25">
      <c r="A682" s="36">
        <v>9</v>
      </c>
      <c r="B682" s="243">
        <v>22100451</v>
      </c>
      <c r="C682" s="244" t="s">
        <v>1100</v>
      </c>
      <c r="D682" s="241">
        <v>5000000</v>
      </c>
      <c r="E682" s="485">
        <v>0</v>
      </c>
      <c r="F682" s="485">
        <v>0</v>
      </c>
      <c r="G682" s="248">
        <v>0</v>
      </c>
      <c r="H682" s="50">
        <f t="shared" si="23"/>
        <v>5000000</v>
      </c>
      <c r="I682" s="56"/>
    </row>
    <row r="683" spans="1:9" x14ac:dyDescent="0.25">
      <c r="A683" s="36">
        <v>10</v>
      </c>
      <c r="B683" s="243">
        <v>22100452</v>
      </c>
      <c r="C683" s="244" t="s">
        <v>1101</v>
      </c>
      <c r="D683" s="242">
        <v>0</v>
      </c>
      <c r="E683" s="485">
        <v>0</v>
      </c>
      <c r="F683" s="485">
        <v>0</v>
      </c>
      <c r="G683" s="248">
        <v>0</v>
      </c>
      <c r="H683" s="50">
        <f t="shared" si="23"/>
        <v>0</v>
      </c>
      <c r="I683" s="56"/>
    </row>
    <row r="684" spans="1:9" ht="34.5" x14ac:dyDescent="0.25">
      <c r="A684" s="36">
        <v>11</v>
      </c>
      <c r="B684" s="243">
        <v>22100453</v>
      </c>
      <c r="C684" s="244" t="s">
        <v>1102</v>
      </c>
      <c r="D684" s="241">
        <v>15000000</v>
      </c>
      <c r="E684" s="485">
        <v>0</v>
      </c>
      <c r="F684" s="485">
        <v>0</v>
      </c>
      <c r="G684" s="248">
        <v>0</v>
      </c>
      <c r="H684" s="50">
        <f t="shared" si="23"/>
        <v>15000000</v>
      </c>
      <c r="I684" s="56"/>
    </row>
    <row r="685" spans="1:9" ht="23.25" x14ac:dyDescent="0.25">
      <c r="A685" s="36">
        <v>12</v>
      </c>
      <c r="B685" s="243">
        <v>22100454</v>
      </c>
      <c r="C685" s="244" t="s">
        <v>346</v>
      </c>
      <c r="D685" s="241">
        <v>12000000</v>
      </c>
      <c r="E685" s="485">
        <v>0</v>
      </c>
      <c r="F685" s="485">
        <v>0</v>
      </c>
      <c r="G685" s="248">
        <v>0</v>
      </c>
      <c r="H685" s="50">
        <f t="shared" si="23"/>
        <v>12000000</v>
      </c>
      <c r="I685" s="56"/>
    </row>
    <row r="686" spans="1:9" ht="23.25" x14ac:dyDescent="0.25">
      <c r="A686" s="36">
        <v>13</v>
      </c>
      <c r="B686" s="243">
        <v>22100455</v>
      </c>
      <c r="C686" s="244" t="s">
        <v>1103</v>
      </c>
      <c r="D686" s="241">
        <v>10000000</v>
      </c>
      <c r="E686" s="485">
        <v>0</v>
      </c>
      <c r="F686" s="485">
        <v>0</v>
      </c>
      <c r="G686" s="248">
        <v>0</v>
      </c>
      <c r="H686" s="50">
        <f t="shared" si="23"/>
        <v>10000000</v>
      </c>
      <c r="I686" s="56"/>
    </row>
    <row r="687" spans="1:9" x14ac:dyDescent="0.25">
      <c r="A687" s="36">
        <v>14</v>
      </c>
      <c r="B687" s="243">
        <v>22100456</v>
      </c>
      <c r="C687" s="244" t="s">
        <v>1104</v>
      </c>
      <c r="D687" s="241">
        <v>10000000</v>
      </c>
      <c r="E687" s="485">
        <v>0</v>
      </c>
      <c r="F687" s="485">
        <v>0</v>
      </c>
      <c r="G687" s="248">
        <v>0</v>
      </c>
      <c r="H687" s="50">
        <f t="shared" si="23"/>
        <v>10000000</v>
      </c>
      <c r="I687" s="56"/>
    </row>
    <row r="688" spans="1:9" x14ac:dyDescent="0.25">
      <c r="A688" s="36">
        <v>15</v>
      </c>
      <c r="B688" s="243">
        <v>22100457</v>
      </c>
      <c r="C688" s="244" t="s">
        <v>1105</v>
      </c>
      <c r="D688" s="241">
        <v>90000000</v>
      </c>
      <c r="E688" s="485">
        <v>0</v>
      </c>
      <c r="F688" s="485">
        <v>0</v>
      </c>
      <c r="G688" s="248">
        <v>0</v>
      </c>
      <c r="H688" s="50">
        <f t="shared" si="23"/>
        <v>90000000</v>
      </c>
      <c r="I688" s="56"/>
    </row>
    <row r="689" spans="1:9" ht="23.25" x14ac:dyDescent="0.25">
      <c r="A689" s="36">
        <v>16</v>
      </c>
      <c r="B689" s="243">
        <v>22100458</v>
      </c>
      <c r="C689" s="244" t="s">
        <v>1106</v>
      </c>
      <c r="D689" s="241">
        <v>2000000</v>
      </c>
      <c r="E689" s="485">
        <v>0</v>
      </c>
      <c r="F689" s="486">
        <v>0</v>
      </c>
      <c r="G689" s="248">
        <v>0</v>
      </c>
      <c r="H689" s="50">
        <f t="shared" si="23"/>
        <v>2000000</v>
      </c>
      <c r="I689" s="56"/>
    </row>
    <row r="690" spans="1:9" ht="23.25" x14ac:dyDescent="0.25">
      <c r="A690" s="36">
        <v>17</v>
      </c>
      <c r="B690" s="243">
        <v>22100459</v>
      </c>
      <c r="C690" s="244" t="s">
        <v>1107</v>
      </c>
      <c r="D690" s="242">
        <v>0</v>
      </c>
      <c r="E690" s="485">
        <v>0</v>
      </c>
      <c r="F690" s="486">
        <v>0</v>
      </c>
      <c r="G690" s="248">
        <v>0</v>
      </c>
      <c r="H690" s="50">
        <f t="shared" si="23"/>
        <v>0</v>
      </c>
      <c r="I690" s="69"/>
    </row>
    <row r="691" spans="1:9" x14ac:dyDescent="0.25">
      <c r="A691" s="36">
        <v>18</v>
      </c>
      <c r="B691" s="243">
        <v>22100460</v>
      </c>
      <c r="C691" s="244" t="s">
        <v>1108</v>
      </c>
      <c r="D691" s="241">
        <v>10000000</v>
      </c>
      <c r="E691" s="485">
        <v>0</v>
      </c>
      <c r="F691" s="486">
        <v>0</v>
      </c>
      <c r="G691" s="248">
        <v>0</v>
      </c>
      <c r="H691" s="50">
        <f t="shared" si="23"/>
        <v>10000000</v>
      </c>
      <c r="I691" s="33"/>
    </row>
    <row r="692" spans="1:9" ht="36.75" x14ac:dyDescent="0.25">
      <c r="A692" s="46" t="s">
        <v>0</v>
      </c>
      <c r="B692" s="65" t="s">
        <v>35</v>
      </c>
      <c r="C692" s="65" t="s">
        <v>36</v>
      </c>
      <c r="D692" s="540" t="s">
        <v>279</v>
      </c>
      <c r="E692" s="65" t="s">
        <v>222</v>
      </c>
      <c r="F692" s="65" t="s">
        <v>273</v>
      </c>
      <c r="G692" s="66" t="s">
        <v>37</v>
      </c>
      <c r="H692" s="541" t="s">
        <v>1175</v>
      </c>
      <c r="I692" s="66" t="s">
        <v>209</v>
      </c>
    </row>
    <row r="693" spans="1:9" x14ac:dyDescent="0.25">
      <c r="A693" s="36">
        <v>19</v>
      </c>
      <c r="B693" s="243">
        <v>22100461</v>
      </c>
      <c r="C693" s="244" t="s">
        <v>612</v>
      </c>
      <c r="D693" s="241">
        <v>150000000</v>
      </c>
      <c r="E693" s="50">
        <v>0</v>
      </c>
      <c r="F693" s="60">
        <v>100000000</v>
      </c>
      <c r="G693" s="50">
        <v>0</v>
      </c>
      <c r="H693" s="50">
        <v>0</v>
      </c>
      <c r="I693" s="56" t="s">
        <v>235</v>
      </c>
    </row>
    <row r="694" spans="1:9" ht="23.25" x14ac:dyDescent="0.25">
      <c r="A694" s="36">
        <v>20</v>
      </c>
      <c r="B694" s="243">
        <v>22100650</v>
      </c>
      <c r="C694" s="244" t="s">
        <v>613</v>
      </c>
      <c r="D694" s="241">
        <v>109536296</v>
      </c>
      <c r="E694" s="50">
        <v>0</v>
      </c>
      <c r="F694" s="487">
        <v>50000000</v>
      </c>
      <c r="G694" s="50">
        <v>0</v>
      </c>
      <c r="H694" s="50">
        <f>D694+G694-F694</f>
        <v>59536296</v>
      </c>
      <c r="I694" s="56" t="s">
        <v>235</v>
      </c>
    </row>
    <row r="695" spans="1:9" x14ac:dyDescent="0.25">
      <c r="A695" s="36">
        <v>21</v>
      </c>
      <c r="B695" s="243">
        <v>22100678</v>
      </c>
      <c r="C695" s="244" t="s">
        <v>1109</v>
      </c>
      <c r="D695" s="241">
        <v>15000000</v>
      </c>
      <c r="E695" s="50">
        <v>0</v>
      </c>
      <c r="F695" s="50"/>
      <c r="G695" s="50">
        <v>0</v>
      </c>
      <c r="H695" s="50">
        <f>D695+G695-F695</f>
        <v>15000000</v>
      </c>
      <c r="I695" s="33"/>
    </row>
    <row r="696" spans="1:9" x14ac:dyDescent="0.25">
      <c r="A696" s="36"/>
      <c r="B696" s="243"/>
      <c r="C696" s="49" t="s">
        <v>38</v>
      </c>
      <c r="D696" s="250">
        <f>SUM(D674:D695)</f>
        <v>645536296</v>
      </c>
      <c r="E696" s="254">
        <f t="shared" ref="E696:G696" si="24">SUM(E674:E695)</f>
        <v>0</v>
      </c>
      <c r="F696" s="254">
        <f t="shared" si="24"/>
        <v>150000000</v>
      </c>
      <c r="G696" s="254">
        <f t="shared" si="24"/>
        <v>0</v>
      </c>
      <c r="H696" s="254">
        <f>SUM(H674:H695)</f>
        <v>395536296</v>
      </c>
      <c r="I696" s="69"/>
    </row>
    <row r="725" spans="1:9" x14ac:dyDescent="0.25">
      <c r="A725" s="628" t="s">
        <v>276</v>
      </c>
      <c r="B725" s="628"/>
      <c r="C725" s="628"/>
      <c r="D725" s="628"/>
      <c r="E725" s="628"/>
      <c r="F725" s="628"/>
      <c r="G725" s="628"/>
      <c r="H725" s="628"/>
      <c r="I725" s="628"/>
    </row>
    <row r="726" spans="1:9" x14ac:dyDescent="0.25">
      <c r="A726" s="628" t="s">
        <v>1176</v>
      </c>
      <c r="B726" s="628"/>
      <c r="C726" s="628"/>
      <c r="D726" s="628"/>
      <c r="E726" s="628"/>
      <c r="F726" s="628"/>
      <c r="G726" s="628"/>
      <c r="H726" s="628"/>
      <c r="I726" s="628"/>
    </row>
    <row r="727" spans="1:9" x14ac:dyDescent="0.25">
      <c r="A727" s="628" t="s">
        <v>34</v>
      </c>
      <c r="B727" s="628"/>
      <c r="C727" s="628"/>
      <c r="D727" s="628"/>
      <c r="E727" s="628"/>
      <c r="F727" s="628"/>
      <c r="G727" s="628"/>
      <c r="H727" s="628"/>
      <c r="I727" s="628"/>
    </row>
    <row r="728" spans="1:9" x14ac:dyDescent="0.25">
      <c r="A728" s="236"/>
      <c r="B728" s="236"/>
      <c r="C728" s="236"/>
      <c r="D728" s="236"/>
      <c r="E728" s="236"/>
      <c r="F728" s="236"/>
      <c r="G728" s="236"/>
      <c r="H728" s="236"/>
    </row>
    <row r="729" spans="1:9" x14ac:dyDescent="0.25">
      <c r="A729" s="72" t="s">
        <v>303</v>
      </c>
      <c r="B729" s="62"/>
      <c r="C729" s="62"/>
      <c r="D729" s="62"/>
      <c r="E729" s="62"/>
      <c r="F729" s="62"/>
      <c r="G729" s="62"/>
      <c r="H729" s="63"/>
    </row>
    <row r="730" spans="1:9" x14ac:dyDescent="0.25">
      <c r="A730" s="63"/>
      <c r="B730" s="236"/>
      <c r="C730" s="63"/>
      <c r="D730" s="63"/>
      <c r="E730" s="63"/>
      <c r="F730" s="63"/>
      <c r="G730" s="63"/>
      <c r="H730" s="63"/>
    </row>
    <row r="731" spans="1:9" x14ac:dyDescent="0.25">
      <c r="A731" s="64" t="s">
        <v>304</v>
      </c>
      <c r="B731" s="64"/>
      <c r="C731" s="64"/>
      <c r="D731" s="63"/>
      <c r="E731" s="63"/>
      <c r="F731" s="63"/>
      <c r="G731" s="63"/>
      <c r="H731" s="63"/>
    </row>
    <row r="732" spans="1:9" ht="36.75" x14ac:dyDescent="0.25">
      <c r="A732" s="46" t="s">
        <v>0</v>
      </c>
      <c r="B732" s="65" t="s">
        <v>35</v>
      </c>
      <c r="C732" s="65" t="s">
        <v>36</v>
      </c>
      <c r="D732" s="65" t="s">
        <v>279</v>
      </c>
      <c r="E732" s="65" t="s">
        <v>222</v>
      </c>
      <c r="F732" s="65" t="s">
        <v>273</v>
      </c>
      <c r="G732" s="66" t="s">
        <v>37</v>
      </c>
      <c r="H732" s="66" t="s">
        <v>1175</v>
      </c>
      <c r="I732" s="66" t="s">
        <v>209</v>
      </c>
    </row>
    <row r="733" spans="1:9" x14ac:dyDescent="0.25">
      <c r="A733" s="36">
        <v>1</v>
      </c>
      <c r="B733" s="243">
        <v>22100235</v>
      </c>
      <c r="C733" s="244" t="s">
        <v>305</v>
      </c>
      <c r="D733" s="241">
        <v>25000000</v>
      </c>
      <c r="E733" s="249">
        <v>0</v>
      </c>
      <c r="F733" s="249">
        <v>0</v>
      </c>
      <c r="G733" s="37">
        <v>10000000</v>
      </c>
      <c r="H733" s="50">
        <f t="shared" ref="H733:H748" si="25">D733+G733</f>
        <v>35000000</v>
      </c>
      <c r="I733" s="56" t="s">
        <v>208</v>
      </c>
    </row>
    <row r="734" spans="1:9" ht="23.25" x14ac:dyDescent="0.25">
      <c r="A734" s="36">
        <v>2</v>
      </c>
      <c r="B734" s="243">
        <v>22100286</v>
      </c>
      <c r="C734" s="244" t="s">
        <v>306</v>
      </c>
      <c r="D734" s="245">
        <v>0</v>
      </c>
      <c r="E734" s="249">
        <v>0</v>
      </c>
      <c r="F734" s="249">
        <v>0</v>
      </c>
      <c r="G734" s="249">
        <v>0</v>
      </c>
      <c r="H734" s="50">
        <f t="shared" si="25"/>
        <v>0</v>
      </c>
      <c r="I734" s="56"/>
    </row>
    <row r="735" spans="1:9" x14ac:dyDescent="0.25">
      <c r="A735" s="36">
        <v>3</v>
      </c>
      <c r="B735" s="243">
        <v>22100287</v>
      </c>
      <c r="C735" s="244" t="s">
        <v>307</v>
      </c>
      <c r="D735" s="241">
        <v>25000000</v>
      </c>
      <c r="E735" s="249">
        <v>0</v>
      </c>
      <c r="F735" s="249">
        <v>0</v>
      </c>
      <c r="G735" s="249">
        <v>0</v>
      </c>
      <c r="H735" s="50">
        <f t="shared" si="25"/>
        <v>25000000</v>
      </c>
      <c r="I735" s="56"/>
    </row>
    <row r="736" spans="1:9" x14ac:dyDescent="0.25">
      <c r="A736" s="36">
        <v>4</v>
      </c>
      <c r="B736" s="243">
        <v>22100379</v>
      </c>
      <c r="C736" s="244" t="s">
        <v>180</v>
      </c>
      <c r="D736" s="241">
        <v>40000000</v>
      </c>
      <c r="E736" s="249">
        <v>0</v>
      </c>
      <c r="F736" s="249">
        <v>0</v>
      </c>
      <c r="G736" s="249">
        <v>0</v>
      </c>
      <c r="H736" s="50">
        <f t="shared" si="25"/>
        <v>40000000</v>
      </c>
      <c r="I736" s="56"/>
    </row>
    <row r="737" spans="1:9" ht="23.25" x14ac:dyDescent="0.25">
      <c r="A737" s="36">
        <v>5</v>
      </c>
      <c r="B737" s="243">
        <v>22100387</v>
      </c>
      <c r="C737" s="244" t="s">
        <v>188</v>
      </c>
      <c r="D737" s="241">
        <v>1500000</v>
      </c>
      <c r="E737" s="249">
        <v>0</v>
      </c>
      <c r="F737" s="249">
        <v>0</v>
      </c>
      <c r="G737" s="249">
        <v>0</v>
      </c>
      <c r="H737" s="50">
        <f t="shared" si="25"/>
        <v>1500000</v>
      </c>
      <c r="I737" s="56"/>
    </row>
    <row r="738" spans="1:9" x14ac:dyDescent="0.25">
      <c r="A738" s="36">
        <v>6</v>
      </c>
      <c r="B738" s="243">
        <v>22100422</v>
      </c>
      <c r="C738" s="244" t="s">
        <v>294</v>
      </c>
      <c r="D738" s="241">
        <v>20000000</v>
      </c>
      <c r="E738" s="249">
        <v>0</v>
      </c>
      <c r="F738" s="249">
        <v>0</v>
      </c>
      <c r="G738" s="37">
        <v>10000000</v>
      </c>
      <c r="H738" s="50">
        <f t="shared" si="25"/>
        <v>30000000</v>
      </c>
      <c r="I738" s="56" t="s">
        <v>208</v>
      </c>
    </row>
    <row r="739" spans="1:9" x14ac:dyDescent="0.25">
      <c r="A739" s="36">
        <v>7</v>
      </c>
      <c r="B739" s="243">
        <v>22100470</v>
      </c>
      <c r="C739" s="244" t="s">
        <v>308</v>
      </c>
      <c r="D739" s="241">
        <v>5000000</v>
      </c>
      <c r="E739" s="249">
        <v>0</v>
      </c>
      <c r="F739" s="249">
        <v>0</v>
      </c>
      <c r="G739" s="249">
        <v>0</v>
      </c>
      <c r="H739" s="50">
        <f t="shared" si="25"/>
        <v>5000000</v>
      </c>
      <c r="I739" s="83"/>
    </row>
    <row r="740" spans="1:9" x14ac:dyDescent="0.25">
      <c r="A740" s="36">
        <v>8</v>
      </c>
      <c r="B740" s="243">
        <v>22100471</v>
      </c>
      <c r="C740" s="244" t="s">
        <v>309</v>
      </c>
      <c r="D740" s="241">
        <v>3000000</v>
      </c>
      <c r="E740" s="249">
        <v>0</v>
      </c>
      <c r="F740" s="249">
        <v>0</v>
      </c>
      <c r="G740" s="249">
        <v>0</v>
      </c>
      <c r="H740" s="60">
        <f t="shared" si="25"/>
        <v>3000000</v>
      </c>
      <c r="I740" s="56"/>
    </row>
    <row r="741" spans="1:9" x14ac:dyDescent="0.25">
      <c r="A741" s="36">
        <v>9</v>
      </c>
      <c r="B741" s="243">
        <v>22100472</v>
      </c>
      <c r="C741" s="244" t="s">
        <v>310</v>
      </c>
      <c r="D741" s="241">
        <v>21000000</v>
      </c>
      <c r="E741" s="249">
        <v>0</v>
      </c>
      <c r="F741" s="249">
        <v>0</v>
      </c>
      <c r="G741" s="249">
        <v>0</v>
      </c>
      <c r="H741" s="50">
        <f t="shared" si="25"/>
        <v>21000000</v>
      </c>
      <c r="I741" s="56"/>
    </row>
    <row r="742" spans="1:9" ht="23.25" x14ac:dyDescent="0.25">
      <c r="A742" s="36">
        <v>10</v>
      </c>
      <c r="B742" s="243">
        <v>22100473</v>
      </c>
      <c r="C742" s="244" t="s">
        <v>311</v>
      </c>
      <c r="D742" s="241">
        <v>5000000</v>
      </c>
      <c r="E742" s="249">
        <v>0</v>
      </c>
      <c r="F742" s="249">
        <v>0</v>
      </c>
      <c r="G742" s="249">
        <v>8000000</v>
      </c>
      <c r="H742" s="50">
        <f t="shared" si="25"/>
        <v>13000000</v>
      </c>
      <c r="I742" s="56" t="s">
        <v>208</v>
      </c>
    </row>
    <row r="743" spans="1:9" ht="23.25" x14ac:dyDescent="0.25">
      <c r="A743" s="36">
        <v>11</v>
      </c>
      <c r="B743" s="243">
        <v>22100474</v>
      </c>
      <c r="C743" s="244" t="s">
        <v>312</v>
      </c>
      <c r="D743" s="241">
        <v>2000000</v>
      </c>
      <c r="E743" s="249">
        <v>0</v>
      </c>
      <c r="F743" s="249">
        <v>0</v>
      </c>
      <c r="G743" s="37">
        <v>2000000</v>
      </c>
      <c r="H743" s="50">
        <f t="shared" si="25"/>
        <v>4000000</v>
      </c>
      <c r="I743" s="56" t="s">
        <v>208</v>
      </c>
    </row>
    <row r="744" spans="1:9" x14ac:dyDescent="0.25">
      <c r="A744" s="36">
        <v>12</v>
      </c>
      <c r="B744" s="243">
        <v>22100475</v>
      </c>
      <c r="C744" s="244" t="s">
        <v>313</v>
      </c>
      <c r="D744" s="241">
        <v>2000000</v>
      </c>
      <c r="E744" s="249">
        <v>0</v>
      </c>
      <c r="F744" s="249">
        <v>0</v>
      </c>
      <c r="G744" s="249">
        <v>0</v>
      </c>
      <c r="H744" s="50">
        <f t="shared" si="25"/>
        <v>2000000</v>
      </c>
      <c r="I744" s="56"/>
    </row>
    <row r="745" spans="1:9" x14ac:dyDescent="0.25">
      <c r="A745" s="36">
        <v>13</v>
      </c>
      <c r="B745" s="243">
        <v>22100479</v>
      </c>
      <c r="C745" s="244" t="s">
        <v>314</v>
      </c>
      <c r="D745" s="241">
        <v>10500000</v>
      </c>
      <c r="E745" s="249">
        <v>0</v>
      </c>
      <c r="F745" s="249">
        <v>0</v>
      </c>
      <c r="G745" s="249">
        <v>0</v>
      </c>
      <c r="H745" s="50">
        <f t="shared" si="25"/>
        <v>10500000</v>
      </c>
      <c r="I745" s="56"/>
    </row>
    <row r="746" spans="1:9" ht="23.25" x14ac:dyDescent="0.25">
      <c r="A746" s="36">
        <v>14</v>
      </c>
      <c r="B746" s="243">
        <v>22100649</v>
      </c>
      <c r="C746" s="244" t="s">
        <v>315</v>
      </c>
      <c r="D746" s="241">
        <v>10000000</v>
      </c>
      <c r="E746" s="249">
        <v>0</v>
      </c>
      <c r="F746" s="249">
        <v>0</v>
      </c>
      <c r="G746" s="249">
        <v>0</v>
      </c>
      <c r="H746" s="50">
        <f t="shared" si="25"/>
        <v>10000000</v>
      </c>
      <c r="I746" s="56"/>
    </row>
    <row r="747" spans="1:9" x14ac:dyDescent="0.25">
      <c r="A747" s="36">
        <v>15</v>
      </c>
      <c r="B747" s="243">
        <v>22100679</v>
      </c>
      <c r="C747" s="244" t="s">
        <v>316</v>
      </c>
      <c r="D747" s="241">
        <v>20000000</v>
      </c>
      <c r="E747" s="249">
        <v>0</v>
      </c>
      <c r="F747" s="249">
        <v>0</v>
      </c>
      <c r="G747" s="249">
        <v>0</v>
      </c>
      <c r="H747" s="50">
        <f t="shared" si="25"/>
        <v>20000000</v>
      </c>
      <c r="I747" s="56"/>
    </row>
    <row r="748" spans="1:9" x14ac:dyDescent="0.25">
      <c r="A748" s="36">
        <v>16</v>
      </c>
      <c r="B748" s="243">
        <v>22100682</v>
      </c>
      <c r="C748" s="417" t="s">
        <v>604</v>
      </c>
      <c r="D748" s="421">
        <v>0</v>
      </c>
      <c r="E748" s="419">
        <v>8000000</v>
      </c>
      <c r="F748" s="419">
        <v>0</v>
      </c>
      <c r="G748" s="37">
        <v>8000000</v>
      </c>
      <c r="H748" s="248">
        <f t="shared" si="25"/>
        <v>8000000</v>
      </c>
      <c r="I748" s="56" t="s">
        <v>605</v>
      </c>
    </row>
    <row r="749" spans="1:9" x14ac:dyDescent="0.25">
      <c r="A749" s="36"/>
      <c r="B749" s="243"/>
      <c r="C749" s="49" t="s">
        <v>38</v>
      </c>
      <c r="D749" s="250">
        <f>SUM(D733:D748)</f>
        <v>190000000</v>
      </c>
      <c r="E749" s="251">
        <f>SUM(E733:E748)</f>
        <v>8000000</v>
      </c>
      <c r="F749" s="252"/>
      <c r="G749" s="253">
        <f>SUM(G733:G748)</f>
        <v>38000000</v>
      </c>
      <c r="H749" s="254">
        <f>SUM(H733:H748)</f>
        <v>228000000</v>
      </c>
      <c r="I749" s="69"/>
    </row>
    <row r="755" spans="1:9" x14ac:dyDescent="0.25">
      <c r="A755" s="628" t="s">
        <v>276</v>
      </c>
      <c r="B755" s="628"/>
      <c r="C755" s="628"/>
      <c r="D755" s="628"/>
      <c r="E755" s="628"/>
      <c r="F755" s="628"/>
      <c r="G755" s="628"/>
      <c r="H755" s="628"/>
      <c r="I755" s="628"/>
    </row>
    <row r="756" spans="1:9" x14ac:dyDescent="0.25">
      <c r="A756" s="628" t="s">
        <v>1176</v>
      </c>
      <c r="B756" s="628"/>
      <c r="C756" s="628"/>
      <c r="D756" s="628"/>
      <c r="E756" s="628"/>
      <c r="F756" s="628"/>
      <c r="G756" s="628"/>
      <c r="H756" s="628"/>
      <c r="I756" s="628"/>
    </row>
    <row r="757" spans="1:9" x14ac:dyDescent="0.25">
      <c r="A757" s="628" t="s">
        <v>34</v>
      </c>
      <c r="B757" s="628"/>
      <c r="C757" s="628"/>
      <c r="D757" s="628"/>
      <c r="E757" s="628"/>
      <c r="F757" s="628"/>
      <c r="G757" s="628"/>
      <c r="H757" s="628"/>
      <c r="I757" s="628"/>
    </row>
    <row r="758" spans="1:9" x14ac:dyDescent="0.25">
      <c r="A758" s="312"/>
      <c r="B758" s="312"/>
      <c r="C758" s="312"/>
      <c r="D758" s="312"/>
      <c r="E758" s="312"/>
      <c r="F758" s="312"/>
      <c r="G758" s="312"/>
      <c r="H758" s="312"/>
    </row>
    <row r="759" spans="1:9" x14ac:dyDescent="0.25">
      <c r="A759" s="72" t="s">
        <v>586</v>
      </c>
      <c r="B759" s="62"/>
      <c r="C759" s="62"/>
      <c r="D759" s="62"/>
      <c r="E759" s="62"/>
      <c r="F759" s="62"/>
      <c r="G759" s="62"/>
      <c r="H759" s="63"/>
    </row>
    <row r="760" spans="1:9" x14ac:dyDescent="0.25">
      <c r="A760" s="63"/>
      <c r="B760" s="312"/>
      <c r="C760" s="63"/>
      <c r="D760" s="63"/>
      <c r="E760" s="63"/>
      <c r="F760" s="63"/>
      <c r="G760" s="63"/>
      <c r="H760" s="63"/>
    </row>
    <row r="761" spans="1:9" x14ac:dyDescent="0.25">
      <c r="A761" s="64" t="s">
        <v>587</v>
      </c>
      <c r="B761" s="64"/>
      <c r="C761" s="64"/>
      <c r="D761" s="63"/>
      <c r="E761" s="63"/>
      <c r="F761" s="63"/>
      <c r="G761" s="63"/>
      <c r="H761" s="63"/>
    </row>
    <row r="762" spans="1:9" ht="36.75" x14ac:dyDescent="0.25">
      <c r="A762" s="46" t="s">
        <v>0</v>
      </c>
      <c r="B762" s="65" t="s">
        <v>35</v>
      </c>
      <c r="C762" s="65" t="s">
        <v>36</v>
      </c>
      <c r="D762" s="65" t="s">
        <v>279</v>
      </c>
      <c r="E762" s="65" t="s">
        <v>222</v>
      </c>
      <c r="F762" s="65" t="s">
        <v>273</v>
      </c>
      <c r="G762" s="66" t="s">
        <v>37</v>
      </c>
      <c r="H762" s="66" t="s">
        <v>1175</v>
      </c>
      <c r="I762" s="66" t="s">
        <v>209</v>
      </c>
    </row>
    <row r="763" spans="1:9" x14ac:dyDescent="0.25">
      <c r="A763" s="36">
        <v>1</v>
      </c>
      <c r="B763" s="243">
        <v>22100228</v>
      </c>
      <c r="C763" s="244" t="s">
        <v>395</v>
      </c>
      <c r="D763" s="241">
        <v>4000000</v>
      </c>
      <c r="E763" s="249">
        <v>0</v>
      </c>
      <c r="F763" s="249">
        <v>0</v>
      </c>
      <c r="G763" s="249">
        <v>0</v>
      </c>
      <c r="H763" s="50">
        <f t="shared" ref="H763:H773" si="26">D763+G763</f>
        <v>4000000</v>
      </c>
      <c r="I763" s="56"/>
    </row>
    <row r="764" spans="1:9" x14ac:dyDescent="0.25">
      <c r="A764" s="36">
        <v>2</v>
      </c>
      <c r="B764" s="243">
        <v>22100287</v>
      </c>
      <c r="C764" s="244" t="s">
        <v>307</v>
      </c>
      <c r="D764" s="241">
        <v>7000000</v>
      </c>
      <c r="E764" s="249">
        <v>0</v>
      </c>
      <c r="F764" s="249">
        <v>0</v>
      </c>
      <c r="G764" s="249">
        <v>0</v>
      </c>
      <c r="H764" s="50">
        <f t="shared" si="26"/>
        <v>7000000</v>
      </c>
      <c r="I764" s="56"/>
    </row>
    <row r="765" spans="1:9" x14ac:dyDescent="0.25">
      <c r="A765" s="36">
        <v>3</v>
      </c>
      <c r="B765" s="243">
        <v>22100422</v>
      </c>
      <c r="C765" s="244" t="s">
        <v>294</v>
      </c>
      <c r="D765" s="241">
        <v>2500000</v>
      </c>
      <c r="E765" s="249">
        <v>0</v>
      </c>
      <c r="F765" s="249">
        <v>0</v>
      </c>
      <c r="G765" s="249">
        <v>0</v>
      </c>
      <c r="H765" s="50">
        <f t="shared" si="26"/>
        <v>2500000</v>
      </c>
      <c r="I765" s="56"/>
    </row>
    <row r="766" spans="1:9" x14ac:dyDescent="0.25">
      <c r="A766" s="36">
        <v>4</v>
      </c>
      <c r="B766" s="243">
        <v>22100470</v>
      </c>
      <c r="C766" s="244" t="s">
        <v>308</v>
      </c>
      <c r="D766" s="241">
        <v>5000000</v>
      </c>
      <c r="E766" s="249">
        <v>0</v>
      </c>
      <c r="F766" s="249">
        <v>0</v>
      </c>
      <c r="G766" s="249">
        <v>0</v>
      </c>
      <c r="H766" s="50">
        <f t="shared" si="26"/>
        <v>5000000</v>
      </c>
      <c r="I766" s="56"/>
    </row>
    <row r="767" spans="1:9" x14ac:dyDescent="0.25">
      <c r="A767" s="36">
        <v>5</v>
      </c>
      <c r="B767" s="243">
        <v>22100471</v>
      </c>
      <c r="C767" s="244" t="s">
        <v>309</v>
      </c>
      <c r="D767" s="241">
        <v>2000000</v>
      </c>
      <c r="E767" s="249">
        <v>0</v>
      </c>
      <c r="F767" s="249">
        <v>0</v>
      </c>
      <c r="G767" s="249">
        <v>0</v>
      </c>
      <c r="H767" s="50">
        <f t="shared" si="26"/>
        <v>2000000</v>
      </c>
      <c r="I767" s="56"/>
    </row>
    <row r="768" spans="1:9" ht="23.25" x14ac:dyDescent="0.25">
      <c r="A768" s="36">
        <v>6</v>
      </c>
      <c r="B768" s="243">
        <v>22100476</v>
      </c>
      <c r="C768" s="244" t="s">
        <v>588</v>
      </c>
      <c r="D768" s="241">
        <v>4500000</v>
      </c>
      <c r="E768" s="249">
        <v>0</v>
      </c>
      <c r="F768" s="249">
        <v>0</v>
      </c>
      <c r="G768" s="249">
        <v>0</v>
      </c>
      <c r="H768" s="50">
        <f t="shared" si="26"/>
        <v>4500000</v>
      </c>
      <c r="I768" s="56"/>
    </row>
    <row r="769" spans="1:9" x14ac:dyDescent="0.25">
      <c r="A769" s="36">
        <v>7</v>
      </c>
      <c r="B769" s="243">
        <v>22100477</v>
      </c>
      <c r="C769" s="244" t="s">
        <v>589</v>
      </c>
      <c r="D769" s="241">
        <v>1000000</v>
      </c>
      <c r="E769" s="249">
        <v>0</v>
      </c>
      <c r="F769" s="249">
        <v>0</v>
      </c>
      <c r="G769" s="249">
        <v>0</v>
      </c>
      <c r="H769" s="50">
        <f t="shared" si="26"/>
        <v>1000000</v>
      </c>
      <c r="I769" s="83"/>
    </row>
    <row r="770" spans="1:9" x14ac:dyDescent="0.25">
      <c r="A770" s="36">
        <v>8</v>
      </c>
      <c r="B770" s="243">
        <v>22100478</v>
      </c>
      <c r="C770" s="244" t="s">
        <v>396</v>
      </c>
      <c r="D770" s="241">
        <v>4500000</v>
      </c>
      <c r="E770" s="249">
        <v>0</v>
      </c>
      <c r="F770" s="249">
        <v>0</v>
      </c>
      <c r="G770" s="249">
        <v>0</v>
      </c>
      <c r="H770" s="60">
        <f t="shared" si="26"/>
        <v>4500000</v>
      </c>
      <c r="I770" s="56"/>
    </row>
    <row r="771" spans="1:9" x14ac:dyDescent="0.25">
      <c r="A771" s="36">
        <v>9</v>
      </c>
      <c r="B771" s="243">
        <v>22100479</v>
      </c>
      <c r="C771" s="244" t="s">
        <v>314</v>
      </c>
      <c r="D771" s="241">
        <v>2500000</v>
      </c>
      <c r="E771" s="249">
        <v>0</v>
      </c>
      <c r="F771" s="249">
        <v>0</v>
      </c>
      <c r="G771" s="249">
        <v>0</v>
      </c>
      <c r="H771" s="50">
        <f t="shared" si="26"/>
        <v>2500000</v>
      </c>
      <c r="I771" s="56"/>
    </row>
    <row r="772" spans="1:9" x14ac:dyDescent="0.25">
      <c r="A772" s="36">
        <v>10</v>
      </c>
      <c r="B772" s="243">
        <v>22100683</v>
      </c>
      <c r="C772" s="417" t="s">
        <v>590</v>
      </c>
      <c r="D772" s="421">
        <v>0</v>
      </c>
      <c r="E772" s="419">
        <v>10000000</v>
      </c>
      <c r="F772" s="419">
        <v>0</v>
      </c>
      <c r="G772" s="37">
        <v>10000000</v>
      </c>
      <c r="H772" s="248">
        <f t="shared" si="26"/>
        <v>10000000</v>
      </c>
      <c r="I772" s="56" t="s">
        <v>605</v>
      </c>
    </row>
    <row r="773" spans="1:9" x14ac:dyDescent="0.25">
      <c r="A773" s="36">
        <v>11</v>
      </c>
      <c r="B773" s="243">
        <v>22100235</v>
      </c>
      <c r="C773" s="244" t="s">
        <v>305</v>
      </c>
      <c r="D773" s="263">
        <v>0</v>
      </c>
      <c r="E773" s="330">
        <v>0</v>
      </c>
      <c r="F773" s="249">
        <v>0</v>
      </c>
      <c r="G773" s="37">
        <v>10000000</v>
      </c>
      <c r="H773" s="248">
        <f t="shared" si="26"/>
        <v>10000000</v>
      </c>
      <c r="I773" s="56" t="s">
        <v>208</v>
      </c>
    </row>
    <row r="774" spans="1:9" x14ac:dyDescent="0.25">
      <c r="A774" s="36"/>
      <c r="B774" s="243"/>
      <c r="C774" s="49" t="s">
        <v>38</v>
      </c>
      <c r="D774" s="250">
        <f>SUM(D763:D773)</f>
        <v>33000000</v>
      </c>
      <c r="E774" s="251">
        <f>SUM(E763:E773)</f>
        <v>10000000</v>
      </c>
      <c r="F774" s="252">
        <f>SUM(F763:F773)</f>
        <v>0</v>
      </c>
      <c r="G774" s="253">
        <f>SUM(G763:G773)</f>
        <v>20000000</v>
      </c>
      <c r="H774" s="254">
        <f>SUM(H763:H773)</f>
        <v>53000000</v>
      </c>
      <c r="I774" s="69"/>
    </row>
    <row r="787" spans="1:9" x14ac:dyDescent="0.25">
      <c r="A787" s="628" t="s">
        <v>276</v>
      </c>
      <c r="B787" s="628"/>
      <c r="C787" s="628"/>
      <c r="D787" s="628"/>
      <c r="E787" s="628"/>
      <c r="F787" s="628"/>
      <c r="G787" s="628"/>
      <c r="H787" s="628"/>
      <c r="I787" s="628"/>
    </row>
    <row r="788" spans="1:9" x14ac:dyDescent="0.25">
      <c r="A788" s="628" t="s">
        <v>1176</v>
      </c>
      <c r="B788" s="628"/>
      <c r="C788" s="628"/>
      <c r="D788" s="628"/>
      <c r="E788" s="628"/>
      <c r="F788" s="628"/>
      <c r="G788" s="628"/>
      <c r="H788" s="628"/>
      <c r="I788" s="628"/>
    </row>
    <row r="789" spans="1:9" x14ac:dyDescent="0.25">
      <c r="A789" s="628" t="s">
        <v>34</v>
      </c>
      <c r="B789" s="628"/>
      <c r="C789" s="628"/>
      <c r="D789" s="628"/>
      <c r="E789" s="628"/>
      <c r="F789" s="628"/>
      <c r="G789" s="628"/>
      <c r="H789" s="628"/>
      <c r="I789" s="628"/>
    </row>
    <row r="790" spans="1:9" x14ac:dyDescent="0.25">
      <c r="A790" s="393"/>
      <c r="B790" s="393"/>
      <c r="C790" s="393"/>
      <c r="D790" s="393"/>
      <c r="E790" s="393"/>
      <c r="F790" s="393"/>
      <c r="G790" s="393"/>
      <c r="H790" s="393"/>
    </row>
    <row r="791" spans="1:9" x14ac:dyDescent="0.25">
      <c r="A791" s="62" t="s">
        <v>1110</v>
      </c>
      <c r="B791" s="62"/>
      <c r="C791" s="62"/>
      <c r="D791" s="62"/>
      <c r="E791" s="62"/>
      <c r="F791" s="62"/>
      <c r="G791" s="62"/>
      <c r="H791" s="63"/>
    </row>
    <row r="792" spans="1:9" x14ac:dyDescent="0.25">
      <c r="A792" s="63"/>
      <c r="B792" s="393"/>
      <c r="C792" s="63"/>
      <c r="D792" s="63"/>
      <c r="E792" s="63"/>
      <c r="F792" s="63"/>
      <c r="G792" s="63"/>
      <c r="H792" s="63"/>
    </row>
    <row r="793" spans="1:9" x14ac:dyDescent="0.25">
      <c r="A793" s="64" t="s">
        <v>1048</v>
      </c>
      <c r="B793" s="64"/>
      <c r="C793" s="64"/>
      <c r="D793" s="63"/>
      <c r="E793" s="63"/>
      <c r="F793" s="63"/>
      <c r="G793" s="63"/>
      <c r="H793" s="63"/>
    </row>
    <row r="794" spans="1:9" ht="36.75" x14ac:dyDescent="0.25">
      <c r="A794" s="46" t="s">
        <v>0</v>
      </c>
      <c r="B794" s="65" t="s">
        <v>35</v>
      </c>
      <c r="C794" s="65" t="s">
        <v>36</v>
      </c>
      <c r="D794" s="65" t="s">
        <v>279</v>
      </c>
      <c r="E794" s="65" t="s">
        <v>222</v>
      </c>
      <c r="F794" s="65" t="s">
        <v>273</v>
      </c>
      <c r="G794" s="66" t="s">
        <v>37</v>
      </c>
      <c r="H794" s="66" t="s">
        <v>1175</v>
      </c>
      <c r="I794" s="66" t="s">
        <v>209</v>
      </c>
    </row>
    <row r="795" spans="1:9" x14ac:dyDescent="0.25">
      <c r="A795" s="56">
        <v>1</v>
      </c>
      <c r="B795" s="243">
        <v>22100283</v>
      </c>
      <c r="C795" s="244" t="s">
        <v>1049</v>
      </c>
      <c r="D795" s="241">
        <v>10000000</v>
      </c>
      <c r="E795" s="155">
        <v>0</v>
      </c>
      <c r="F795" s="155">
        <v>0</v>
      </c>
      <c r="G795" s="155">
        <v>0</v>
      </c>
      <c r="H795" s="50">
        <f>D795+G795-F795</f>
        <v>10000000</v>
      </c>
      <c r="I795" s="33"/>
    </row>
    <row r="796" spans="1:9" ht="34.5" x14ac:dyDescent="0.25">
      <c r="A796" s="56">
        <v>2</v>
      </c>
      <c r="B796" s="243">
        <v>22100495</v>
      </c>
      <c r="C796" s="244" t="s">
        <v>470</v>
      </c>
      <c r="D796" s="241">
        <v>39500000</v>
      </c>
      <c r="E796" s="155">
        <v>0</v>
      </c>
      <c r="F796" s="155">
        <v>20000000</v>
      </c>
      <c r="G796" s="155">
        <v>0</v>
      </c>
      <c r="H796" s="50">
        <f>D796+G796-F796</f>
        <v>19500000</v>
      </c>
      <c r="I796" s="423" t="s">
        <v>235</v>
      </c>
    </row>
    <row r="797" spans="1:9" ht="23.25" x14ac:dyDescent="0.25">
      <c r="A797" s="56">
        <v>3</v>
      </c>
      <c r="B797" s="243">
        <v>22100496</v>
      </c>
      <c r="C797" s="244" t="s">
        <v>1050</v>
      </c>
      <c r="D797" s="241">
        <v>500000</v>
      </c>
      <c r="E797" s="155">
        <v>0</v>
      </c>
      <c r="F797" s="155">
        <v>0</v>
      </c>
      <c r="G797" s="155">
        <v>0</v>
      </c>
      <c r="H797" s="50">
        <f>D797+G797-F797</f>
        <v>500000</v>
      </c>
      <c r="I797" s="33"/>
    </row>
    <row r="798" spans="1:9" x14ac:dyDescent="0.25">
      <c r="A798" s="33"/>
      <c r="B798" s="31"/>
      <c r="C798" s="67" t="s">
        <v>38</v>
      </c>
      <c r="D798" s="73">
        <f>SUM(D795:D797)</f>
        <v>50000000</v>
      </c>
      <c r="E798" s="254">
        <f>SUM(E795:E797)</f>
        <v>0</v>
      </c>
      <c r="F798" s="252">
        <f>SUM(F795:F797)</f>
        <v>20000000</v>
      </c>
      <c r="G798" s="254">
        <f>SUM(G795:G797)</f>
        <v>0</v>
      </c>
      <c r="H798" s="73">
        <f>SUM(H795:H797)</f>
        <v>30000000</v>
      </c>
      <c r="I798" s="33"/>
    </row>
    <row r="818" spans="1:9" x14ac:dyDescent="0.25">
      <c r="A818" s="628" t="s">
        <v>276</v>
      </c>
      <c r="B818" s="628"/>
      <c r="C818" s="628"/>
      <c r="D818" s="628"/>
      <c r="E818" s="628"/>
      <c r="F818" s="628"/>
      <c r="G818" s="628"/>
      <c r="H818" s="628"/>
      <c r="I818" s="628"/>
    </row>
    <row r="819" spans="1:9" x14ac:dyDescent="0.25">
      <c r="A819" s="628" t="s">
        <v>1176</v>
      </c>
      <c r="B819" s="628"/>
      <c r="C819" s="628"/>
      <c r="D819" s="628"/>
      <c r="E819" s="628"/>
      <c r="F819" s="628"/>
      <c r="G819" s="628"/>
      <c r="H819" s="628"/>
      <c r="I819" s="628"/>
    </row>
    <row r="820" spans="1:9" x14ac:dyDescent="0.25">
      <c r="A820" s="628" t="s">
        <v>34</v>
      </c>
      <c r="B820" s="628"/>
      <c r="C820" s="628"/>
      <c r="D820" s="628"/>
      <c r="E820" s="628"/>
      <c r="F820" s="628"/>
      <c r="G820" s="628"/>
      <c r="H820" s="628"/>
      <c r="I820" s="628"/>
    </row>
    <row r="821" spans="1:9" x14ac:dyDescent="0.25">
      <c r="A821" s="240"/>
      <c r="B821" s="240"/>
      <c r="C821" s="240"/>
      <c r="D821" s="240"/>
      <c r="E821" s="240"/>
      <c r="F821" s="240"/>
      <c r="G821" s="240"/>
      <c r="H821" s="240"/>
    </row>
    <row r="822" spans="1:9" x14ac:dyDescent="0.25">
      <c r="A822" s="62" t="s">
        <v>298</v>
      </c>
      <c r="B822" s="62"/>
      <c r="C822" s="62"/>
      <c r="D822" s="62"/>
      <c r="E822" s="62"/>
      <c r="F822" s="62"/>
      <c r="G822" s="62"/>
      <c r="H822" s="63"/>
    </row>
    <row r="823" spans="1:9" x14ac:dyDescent="0.25">
      <c r="A823" s="63"/>
      <c r="B823" s="240"/>
      <c r="C823" s="63"/>
      <c r="D823" s="63"/>
      <c r="E823" s="63"/>
      <c r="F823" s="63"/>
      <c r="G823" s="63"/>
      <c r="H823" s="63"/>
    </row>
    <row r="824" spans="1:9" x14ac:dyDescent="0.25">
      <c r="A824" s="64" t="s">
        <v>299</v>
      </c>
      <c r="B824" s="64"/>
      <c r="C824" s="64"/>
      <c r="D824" s="63"/>
      <c r="E824" s="63"/>
      <c r="F824" s="63"/>
      <c r="G824" s="63"/>
      <c r="H824" s="63"/>
    </row>
    <row r="825" spans="1:9" ht="36.75" x14ac:dyDescent="0.25">
      <c r="A825" s="46" t="s">
        <v>0</v>
      </c>
      <c r="B825" s="65" t="s">
        <v>35</v>
      </c>
      <c r="C825" s="65" t="s">
        <v>36</v>
      </c>
      <c r="D825" s="65" t="s">
        <v>279</v>
      </c>
      <c r="E825" s="65" t="s">
        <v>222</v>
      </c>
      <c r="F825" s="65" t="s">
        <v>273</v>
      </c>
      <c r="G825" s="66" t="s">
        <v>37</v>
      </c>
      <c r="H825" s="66" t="s">
        <v>1175</v>
      </c>
      <c r="I825" s="66" t="s">
        <v>209</v>
      </c>
    </row>
    <row r="826" spans="1:9" x14ac:dyDescent="0.25">
      <c r="A826" s="56">
        <v>1</v>
      </c>
      <c r="B826" s="243">
        <v>22100251</v>
      </c>
      <c r="C826" s="244" t="s">
        <v>291</v>
      </c>
      <c r="D826" s="241">
        <v>2000000</v>
      </c>
      <c r="E826" s="155">
        <v>0</v>
      </c>
      <c r="F826" s="155">
        <v>0</v>
      </c>
      <c r="G826" s="155">
        <v>0</v>
      </c>
      <c r="H826" s="50">
        <f t="shared" ref="H826:H833" si="27">D826+G826</f>
        <v>2000000</v>
      </c>
      <c r="I826" s="56"/>
    </row>
    <row r="827" spans="1:9" x14ac:dyDescent="0.25">
      <c r="A827" s="56">
        <v>2</v>
      </c>
      <c r="B827" s="243">
        <v>22100253</v>
      </c>
      <c r="C827" s="244" t="s">
        <v>292</v>
      </c>
      <c r="D827" s="241">
        <v>2000000</v>
      </c>
      <c r="E827" s="155">
        <v>0</v>
      </c>
      <c r="F827" s="155">
        <v>0</v>
      </c>
      <c r="G827" s="155">
        <v>0</v>
      </c>
      <c r="H827" s="50">
        <f t="shared" si="27"/>
        <v>2000000</v>
      </c>
      <c r="I827" s="56"/>
    </row>
    <row r="828" spans="1:9" x14ac:dyDescent="0.25">
      <c r="A828" s="56">
        <v>3</v>
      </c>
      <c r="B828" s="243">
        <v>22100257</v>
      </c>
      <c r="C828" s="244" t="s">
        <v>293</v>
      </c>
      <c r="D828" s="241">
        <v>2000000</v>
      </c>
      <c r="E828" s="155">
        <v>0</v>
      </c>
      <c r="F828" s="155">
        <v>0</v>
      </c>
      <c r="G828" s="155">
        <v>2000000</v>
      </c>
      <c r="H828" s="50">
        <f t="shared" si="27"/>
        <v>4000000</v>
      </c>
      <c r="I828" s="56" t="s">
        <v>208</v>
      </c>
    </row>
    <row r="829" spans="1:9" x14ac:dyDescent="0.25">
      <c r="A829" s="56">
        <v>4</v>
      </c>
      <c r="B829" s="243">
        <v>22100422</v>
      </c>
      <c r="C829" s="244" t="s">
        <v>294</v>
      </c>
      <c r="D829" s="245">
        <v>0</v>
      </c>
      <c r="E829" s="155">
        <v>0</v>
      </c>
      <c r="F829" s="155">
        <v>0</v>
      </c>
      <c r="G829" s="155">
        <v>0</v>
      </c>
      <c r="H829" s="50">
        <f t="shared" si="27"/>
        <v>0</v>
      </c>
      <c r="I829" s="56"/>
    </row>
    <row r="830" spans="1:9" x14ac:dyDescent="0.25">
      <c r="A830" s="56">
        <v>5</v>
      </c>
      <c r="B830" s="243">
        <v>22100491</v>
      </c>
      <c r="C830" s="244" t="s">
        <v>295</v>
      </c>
      <c r="D830" s="241">
        <v>1000000</v>
      </c>
      <c r="E830" s="155">
        <v>0</v>
      </c>
      <c r="F830" s="155">
        <v>0</v>
      </c>
      <c r="G830" s="155">
        <v>0</v>
      </c>
      <c r="H830" s="50">
        <f t="shared" si="27"/>
        <v>1000000</v>
      </c>
      <c r="I830" s="56"/>
    </row>
    <row r="831" spans="1:9" ht="34.5" x14ac:dyDescent="0.25">
      <c r="A831" s="56">
        <v>6</v>
      </c>
      <c r="B831" s="243">
        <v>22100518</v>
      </c>
      <c r="C831" s="244" t="s">
        <v>296</v>
      </c>
      <c r="D831" s="241">
        <v>5000000</v>
      </c>
      <c r="E831" s="155">
        <v>0</v>
      </c>
      <c r="F831" s="155">
        <v>0</v>
      </c>
      <c r="G831" s="155">
        <v>0</v>
      </c>
      <c r="H831" s="50">
        <f t="shared" si="27"/>
        <v>5000000</v>
      </c>
      <c r="I831" s="56"/>
    </row>
    <row r="832" spans="1:9" x14ac:dyDescent="0.25">
      <c r="A832" s="56">
        <v>7</v>
      </c>
      <c r="B832" s="243">
        <v>22100519</v>
      </c>
      <c r="C832" s="244" t="s">
        <v>603</v>
      </c>
      <c r="D832" s="241">
        <v>10000000</v>
      </c>
      <c r="E832" s="155">
        <v>0</v>
      </c>
      <c r="F832" s="155">
        <v>0</v>
      </c>
      <c r="G832" s="35">
        <v>8000000</v>
      </c>
      <c r="H832" s="50">
        <f t="shared" si="27"/>
        <v>18000000</v>
      </c>
      <c r="I832" s="56" t="s">
        <v>208</v>
      </c>
    </row>
    <row r="833" spans="1:9" ht="23.25" x14ac:dyDescent="0.25">
      <c r="A833" s="56">
        <v>8</v>
      </c>
      <c r="B833" s="243">
        <v>22100520</v>
      </c>
      <c r="C833" s="244" t="s">
        <v>297</v>
      </c>
      <c r="D833" s="241">
        <v>10000000</v>
      </c>
      <c r="E833" s="155">
        <v>0</v>
      </c>
      <c r="F833" s="155">
        <v>0</v>
      </c>
      <c r="G833" s="155">
        <v>0</v>
      </c>
      <c r="H833" s="60">
        <f t="shared" si="27"/>
        <v>10000000</v>
      </c>
      <c r="I833" s="56"/>
    </row>
    <row r="834" spans="1:9" x14ac:dyDescent="0.25">
      <c r="A834" s="33"/>
      <c r="B834" s="31"/>
      <c r="C834" s="67" t="s">
        <v>38</v>
      </c>
      <c r="D834" s="73">
        <f>SUM(D826:D833)</f>
        <v>32000000</v>
      </c>
      <c r="E834" s="73"/>
      <c r="F834" s="155">
        <v>0</v>
      </c>
      <c r="G834" s="73">
        <f>SUM(G826:G833)</f>
        <v>10000000</v>
      </c>
      <c r="H834" s="73">
        <f>SUM(H826:H833)</f>
        <v>42000000</v>
      </c>
      <c r="I834" s="56"/>
    </row>
    <row r="849" spans="1:9" x14ac:dyDescent="0.25">
      <c r="A849" s="628" t="s">
        <v>276</v>
      </c>
      <c r="B849" s="628"/>
      <c r="C849" s="628"/>
      <c r="D849" s="628"/>
      <c r="E849" s="628"/>
      <c r="F849" s="628"/>
      <c r="G849" s="628"/>
      <c r="H849" s="628"/>
      <c r="I849" s="628"/>
    </row>
    <row r="850" spans="1:9" x14ac:dyDescent="0.25">
      <c r="A850" s="628" t="s">
        <v>1176</v>
      </c>
      <c r="B850" s="628"/>
      <c r="C850" s="628"/>
      <c r="D850" s="628"/>
      <c r="E850" s="628"/>
      <c r="F850" s="628"/>
      <c r="G850" s="628"/>
      <c r="H850" s="628"/>
      <c r="I850" s="628"/>
    </row>
    <row r="851" spans="1:9" x14ac:dyDescent="0.25">
      <c r="A851" s="628" t="s">
        <v>34</v>
      </c>
      <c r="B851" s="628"/>
      <c r="C851" s="628"/>
      <c r="D851" s="628"/>
      <c r="E851" s="628"/>
      <c r="F851" s="628"/>
      <c r="G851" s="628"/>
      <c r="H851" s="628"/>
      <c r="I851" s="628"/>
    </row>
    <row r="852" spans="1:9" x14ac:dyDescent="0.25">
      <c r="A852" s="389"/>
      <c r="B852" s="389"/>
      <c r="C852" s="389"/>
      <c r="D852" s="389"/>
      <c r="E852" s="389"/>
      <c r="F852" s="389"/>
      <c r="G852" s="389"/>
      <c r="H852" s="389"/>
    </row>
    <row r="853" spans="1:9" x14ac:dyDescent="0.25">
      <c r="A853" s="72" t="s">
        <v>686</v>
      </c>
      <c r="B853" s="62"/>
      <c r="C853" s="62"/>
      <c r="D853" s="62"/>
      <c r="E853" s="62"/>
      <c r="F853" s="62"/>
      <c r="G853" s="62"/>
      <c r="H853" s="63"/>
    </row>
    <row r="854" spans="1:9" x14ac:dyDescent="0.25">
      <c r="A854" s="63"/>
      <c r="B854" s="389"/>
      <c r="C854" s="63"/>
      <c r="D854" s="63"/>
      <c r="E854" s="63"/>
      <c r="F854" s="63"/>
      <c r="G854" s="63"/>
      <c r="H854" s="63"/>
    </row>
    <row r="855" spans="1:9" x14ac:dyDescent="0.25">
      <c r="A855" s="64" t="s">
        <v>687</v>
      </c>
      <c r="B855" s="64"/>
      <c r="C855" s="64"/>
      <c r="D855" s="63"/>
      <c r="E855" s="63"/>
      <c r="F855" s="63"/>
      <c r="G855" s="63"/>
      <c r="H855" s="63"/>
    </row>
    <row r="856" spans="1:9" ht="36.75" x14ac:dyDescent="0.25">
      <c r="A856" s="46" t="s">
        <v>0</v>
      </c>
      <c r="B856" s="65" t="s">
        <v>35</v>
      </c>
      <c r="C856" s="65" t="s">
        <v>36</v>
      </c>
      <c r="D856" s="65" t="s">
        <v>279</v>
      </c>
      <c r="E856" s="65" t="s">
        <v>222</v>
      </c>
      <c r="F856" s="65" t="s">
        <v>273</v>
      </c>
      <c r="G856" s="66" t="s">
        <v>37</v>
      </c>
      <c r="H856" s="66" t="s">
        <v>1175</v>
      </c>
      <c r="I856" s="66" t="s">
        <v>209</v>
      </c>
    </row>
    <row r="857" spans="1:9" x14ac:dyDescent="0.25">
      <c r="A857" s="36">
        <v>1</v>
      </c>
      <c r="B857" s="243">
        <v>22100204</v>
      </c>
      <c r="C857" s="244" t="s">
        <v>361</v>
      </c>
      <c r="D857" s="241">
        <v>4000000</v>
      </c>
      <c r="E857" s="249">
        <v>0</v>
      </c>
      <c r="F857" s="249">
        <v>0</v>
      </c>
      <c r="G857" s="249">
        <v>0</v>
      </c>
      <c r="H857" s="50">
        <f t="shared" ref="H857:H874" si="28">D857+G857</f>
        <v>4000000</v>
      </c>
      <c r="I857" s="56"/>
    </row>
    <row r="858" spans="1:9" x14ac:dyDescent="0.25">
      <c r="A858" s="36">
        <v>2</v>
      </c>
      <c r="B858" s="243">
        <v>22100521</v>
      </c>
      <c r="C858" s="244" t="s">
        <v>688</v>
      </c>
      <c r="D858" s="241">
        <v>45000000</v>
      </c>
      <c r="E858" s="249">
        <v>0</v>
      </c>
      <c r="F858" s="249">
        <v>0</v>
      </c>
      <c r="G858" s="249"/>
      <c r="H858" s="50">
        <f t="shared" si="28"/>
        <v>45000000</v>
      </c>
      <c r="I858" s="56"/>
    </row>
    <row r="859" spans="1:9" x14ac:dyDescent="0.25">
      <c r="A859" s="36">
        <v>3</v>
      </c>
      <c r="B859" s="243">
        <v>22100522</v>
      </c>
      <c r="C859" s="244" t="s">
        <v>689</v>
      </c>
      <c r="D859" s="241">
        <v>28000000</v>
      </c>
      <c r="E859" s="249">
        <v>3154000</v>
      </c>
      <c r="F859" s="249">
        <v>0</v>
      </c>
      <c r="G859" s="249">
        <v>0</v>
      </c>
      <c r="H859" s="50">
        <f t="shared" si="28"/>
        <v>28000000</v>
      </c>
      <c r="I859" s="56"/>
    </row>
    <row r="860" spans="1:9" x14ac:dyDescent="0.25">
      <c r="A860" s="36">
        <v>4</v>
      </c>
      <c r="B860" s="243">
        <v>22100523</v>
      </c>
      <c r="C860" s="244" t="s">
        <v>690</v>
      </c>
      <c r="D860" s="241">
        <v>160000000</v>
      </c>
      <c r="E860" s="249">
        <v>0</v>
      </c>
      <c r="F860" s="249">
        <v>0</v>
      </c>
      <c r="G860" s="249">
        <v>0</v>
      </c>
      <c r="H860" s="50">
        <f t="shared" si="28"/>
        <v>160000000</v>
      </c>
      <c r="I860" s="56"/>
    </row>
    <row r="861" spans="1:9" x14ac:dyDescent="0.25">
      <c r="A861" s="36">
        <v>5</v>
      </c>
      <c r="B861" s="243">
        <v>22100524</v>
      </c>
      <c r="C861" s="244" t="s">
        <v>691</v>
      </c>
      <c r="D861" s="241">
        <v>70000000</v>
      </c>
      <c r="E861" s="249">
        <v>1685000</v>
      </c>
      <c r="F861" s="249">
        <v>1061500</v>
      </c>
      <c r="G861" s="249">
        <v>0</v>
      </c>
      <c r="H861" s="50">
        <f>D861+G861-F861</f>
        <v>68938500</v>
      </c>
      <c r="I861" s="56" t="s">
        <v>235</v>
      </c>
    </row>
    <row r="862" spans="1:9" ht="23.25" x14ac:dyDescent="0.25">
      <c r="A862" s="36">
        <v>6</v>
      </c>
      <c r="B862" s="243">
        <v>22100525</v>
      </c>
      <c r="C862" s="244" t="s">
        <v>692</v>
      </c>
      <c r="D862" s="241">
        <v>8000000</v>
      </c>
      <c r="E862" s="249">
        <v>0</v>
      </c>
      <c r="F862" s="249">
        <v>0</v>
      </c>
      <c r="G862" s="249">
        <v>0</v>
      </c>
      <c r="H862" s="50">
        <f t="shared" si="28"/>
        <v>8000000</v>
      </c>
      <c r="I862" s="83"/>
    </row>
    <row r="863" spans="1:9" x14ac:dyDescent="0.25">
      <c r="A863" s="36">
        <v>7</v>
      </c>
      <c r="B863" s="243">
        <v>22100526</v>
      </c>
      <c r="C863" s="244" t="s">
        <v>693</v>
      </c>
      <c r="D863" s="241">
        <v>10000000</v>
      </c>
      <c r="E863" s="249">
        <v>0</v>
      </c>
      <c r="F863" s="249">
        <v>0</v>
      </c>
      <c r="G863" s="249">
        <v>0</v>
      </c>
      <c r="H863" s="50">
        <f t="shared" si="28"/>
        <v>10000000</v>
      </c>
      <c r="I863" s="83"/>
    </row>
    <row r="864" spans="1:9" x14ac:dyDescent="0.25">
      <c r="A864" s="36">
        <v>8</v>
      </c>
      <c r="B864" s="243">
        <v>22100527</v>
      </c>
      <c r="C864" s="244" t="s">
        <v>694</v>
      </c>
      <c r="D864" s="241">
        <v>7000000</v>
      </c>
      <c r="E864" s="249">
        <v>0</v>
      </c>
      <c r="F864" s="249">
        <v>0</v>
      </c>
      <c r="G864" s="249">
        <v>0</v>
      </c>
      <c r="H864" s="60">
        <f t="shared" si="28"/>
        <v>7000000</v>
      </c>
      <c r="I864" s="56"/>
    </row>
    <row r="865" spans="1:9" ht="23.25" x14ac:dyDescent="0.25">
      <c r="A865" s="36">
        <v>9</v>
      </c>
      <c r="B865" s="243">
        <v>22100528</v>
      </c>
      <c r="C865" s="244" t="s">
        <v>695</v>
      </c>
      <c r="D865" s="241">
        <v>40000000</v>
      </c>
      <c r="E865" s="249">
        <v>0</v>
      </c>
      <c r="F865" s="249">
        <v>8938500</v>
      </c>
      <c r="G865" s="249">
        <v>0</v>
      </c>
      <c r="H865" s="50">
        <f>D865+G865-F865</f>
        <v>31061500</v>
      </c>
      <c r="I865" s="56" t="s">
        <v>235</v>
      </c>
    </row>
    <row r="866" spans="1:9" x14ac:dyDescent="0.25">
      <c r="A866" s="36">
        <v>10</v>
      </c>
      <c r="B866" s="243">
        <v>22100529</v>
      </c>
      <c r="C866" s="244" t="s">
        <v>696</v>
      </c>
      <c r="D866" s="241">
        <v>5000000</v>
      </c>
      <c r="E866" s="249">
        <v>0</v>
      </c>
      <c r="F866" s="249">
        <v>0</v>
      </c>
      <c r="G866" s="249">
        <v>0</v>
      </c>
      <c r="H866" s="50">
        <f t="shared" si="28"/>
        <v>5000000</v>
      </c>
      <c r="I866" s="56"/>
    </row>
    <row r="867" spans="1:9" ht="23.25" x14ac:dyDescent="0.25">
      <c r="A867" s="36">
        <v>11</v>
      </c>
      <c r="B867" s="243">
        <v>22100530</v>
      </c>
      <c r="C867" s="244" t="s">
        <v>697</v>
      </c>
      <c r="D867" s="241">
        <v>5000000</v>
      </c>
      <c r="E867" s="249">
        <v>0</v>
      </c>
      <c r="F867" s="249">
        <v>0</v>
      </c>
      <c r="G867" s="249">
        <v>0</v>
      </c>
      <c r="H867" s="50">
        <f t="shared" si="28"/>
        <v>5000000</v>
      </c>
      <c r="I867" s="56"/>
    </row>
    <row r="868" spans="1:9" x14ac:dyDescent="0.25">
      <c r="A868" s="36">
        <v>12</v>
      </c>
      <c r="B868" s="243">
        <v>22100532</v>
      </c>
      <c r="C868" s="244" t="s">
        <v>698</v>
      </c>
      <c r="D868" s="241">
        <v>3000000</v>
      </c>
      <c r="E868" s="249">
        <v>0</v>
      </c>
      <c r="F868" s="249">
        <v>0</v>
      </c>
      <c r="G868" s="249">
        <v>0</v>
      </c>
      <c r="H868" s="50">
        <f t="shared" si="28"/>
        <v>3000000</v>
      </c>
      <c r="I868" s="56"/>
    </row>
    <row r="869" spans="1:9" ht="34.5" x14ac:dyDescent="0.25">
      <c r="A869" s="36">
        <v>13</v>
      </c>
      <c r="B869" s="243">
        <v>22100533</v>
      </c>
      <c r="C869" s="244" t="s">
        <v>699</v>
      </c>
      <c r="D869" s="241">
        <v>6000000</v>
      </c>
      <c r="E869" s="249">
        <v>0</v>
      </c>
      <c r="F869" s="249">
        <v>0</v>
      </c>
      <c r="G869" s="249">
        <v>0</v>
      </c>
      <c r="H869" s="50">
        <f t="shared" si="28"/>
        <v>6000000</v>
      </c>
      <c r="I869" s="56"/>
    </row>
    <row r="870" spans="1:9" ht="23.25" x14ac:dyDescent="0.25">
      <c r="A870" s="36">
        <v>14</v>
      </c>
      <c r="B870" s="243">
        <v>22100534</v>
      </c>
      <c r="C870" s="244" t="s">
        <v>700</v>
      </c>
      <c r="D870" s="241">
        <v>3000000</v>
      </c>
      <c r="E870" s="249">
        <v>2519405</v>
      </c>
      <c r="F870" s="249">
        <v>0</v>
      </c>
      <c r="G870" s="249"/>
      <c r="H870" s="50">
        <f t="shared" si="28"/>
        <v>3000000</v>
      </c>
      <c r="I870" s="56"/>
    </row>
    <row r="871" spans="1:9" ht="23.25" x14ac:dyDescent="0.25">
      <c r="A871" s="36">
        <v>15</v>
      </c>
      <c r="B871" s="243">
        <v>22100535</v>
      </c>
      <c r="C871" s="244" t="s">
        <v>701</v>
      </c>
      <c r="D871" s="241">
        <v>2000000</v>
      </c>
      <c r="E871" s="249">
        <v>0</v>
      </c>
      <c r="F871" s="249">
        <v>0</v>
      </c>
      <c r="G871" s="249">
        <v>0</v>
      </c>
      <c r="H871" s="50">
        <f t="shared" si="28"/>
        <v>2000000</v>
      </c>
      <c r="I871" s="56"/>
    </row>
    <row r="872" spans="1:9" ht="23.25" x14ac:dyDescent="0.25">
      <c r="A872" s="36">
        <v>16</v>
      </c>
      <c r="B872" s="243">
        <v>22100537</v>
      </c>
      <c r="C872" s="244" t="s">
        <v>702</v>
      </c>
      <c r="D872" s="241">
        <v>4000000</v>
      </c>
      <c r="E872" s="249">
        <v>17000000</v>
      </c>
      <c r="F872" s="249">
        <v>0</v>
      </c>
      <c r="G872" s="249">
        <v>0</v>
      </c>
      <c r="H872" s="248">
        <f t="shared" si="28"/>
        <v>4000000</v>
      </c>
      <c r="I872" s="56"/>
    </row>
    <row r="873" spans="1:9" ht="23.25" x14ac:dyDescent="0.25">
      <c r="A873" s="36">
        <v>17</v>
      </c>
      <c r="B873" s="243">
        <v>22100538</v>
      </c>
      <c r="C873" s="244" t="s">
        <v>703</v>
      </c>
      <c r="D873" s="241">
        <v>3000000</v>
      </c>
      <c r="E873" s="249">
        <v>0</v>
      </c>
      <c r="F873" s="249">
        <v>0</v>
      </c>
      <c r="G873" s="37"/>
      <c r="H873" s="248">
        <f t="shared" si="28"/>
        <v>3000000</v>
      </c>
      <c r="I873" s="56"/>
    </row>
    <row r="874" spans="1:9" x14ac:dyDescent="0.25">
      <c r="A874" s="36">
        <v>18</v>
      </c>
      <c r="B874" s="243">
        <v>22100539</v>
      </c>
      <c r="C874" s="244" t="s">
        <v>704</v>
      </c>
      <c r="D874" s="241">
        <v>2000000</v>
      </c>
      <c r="E874" s="249"/>
      <c r="F874" s="249"/>
      <c r="G874" s="37"/>
      <c r="H874" s="248">
        <f t="shared" si="28"/>
        <v>2000000</v>
      </c>
      <c r="I874" s="56"/>
    </row>
    <row r="875" spans="1:9" x14ac:dyDescent="0.25">
      <c r="A875" s="39"/>
      <c r="B875" s="434"/>
      <c r="C875" s="435"/>
      <c r="D875" s="436"/>
      <c r="E875" s="199"/>
      <c r="F875" s="199"/>
      <c r="G875" s="160"/>
      <c r="H875" s="221"/>
      <c r="I875" s="426"/>
    </row>
    <row r="876" spans="1:9" ht="36.75" x14ac:dyDescent="0.25">
      <c r="A876" s="201" t="s">
        <v>0</v>
      </c>
      <c r="B876" s="65" t="s">
        <v>35</v>
      </c>
      <c r="C876" s="65" t="s">
        <v>36</v>
      </c>
      <c r="D876" s="65" t="s">
        <v>279</v>
      </c>
      <c r="E876" s="65" t="s">
        <v>222</v>
      </c>
      <c r="F876" s="65" t="s">
        <v>273</v>
      </c>
      <c r="G876" s="65" t="s">
        <v>37</v>
      </c>
      <c r="H876" s="65" t="s">
        <v>1175</v>
      </c>
      <c r="I876" s="65" t="s">
        <v>209</v>
      </c>
    </row>
    <row r="877" spans="1:9" x14ac:dyDescent="0.25">
      <c r="A877" s="36">
        <v>19</v>
      </c>
      <c r="B877" s="243">
        <v>22100540</v>
      </c>
      <c r="C877" s="244" t="s">
        <v>705</v>
      </c>
      <c r="D877" s="241">
        <v>1000000</v>
      </c>
      <c r="E877" s="155"/>
      <c r="F877" s="155"/>
      <c r="G877" s="37"/>
      <c r="H877" s="248">
        <f>D877+G877</f>
        <v>1000000</v>
      </c>
      <c r="I877" s="56"/>
    </row>
    <row r="878" spans="1:9" ht="23.25" x14ac:dyDescent="0.25">
      <c r="A878" s="36">
        <v>20</v>
      </c>
      <c r="B878" s="243">
        <v>22100541</v>
      </c>
      <c r="C878" s="244" t="s">
        <v>706</v>
      </c>
      <c r="D878" s="241">
        <v>2000000</v>
      </c>
      <c r="E878" s="249"/>
      <c r="F878" s="249"/>
      <c r="G878" s="37"/>
      <c r="H878" s="248">
        <f>D878+G878</f>
        <v>2000000</v>
      </c>
      <c r="I878" s="56"/>
    </row>
    <row r="879" spans="1:9" x14ac:dyDescent="0.25">
      <c r="A879" s="36">
        <v>21</v>
      </c>
      <c r="B879" s="243">
        <v>22100543</v>
      </c>
      <c r="C879" s="244" t="s">
        <v>707</v>
      </c>
      <c r="D879" s="241">
        <v>5000000</v>
      </c>
      <c r="E879" s="249"/>
      <c r="F879" s="249"/>
      <c r="G879" s="37"/>
      <c r="H879" s="248">
        <f>D879+G879</f>
        <v>5000000</v>
      </c>
      <c r="I879" s="56"/>
    </row>
    <row r="880" spans="1:9" x14ac:dyDescent="0.25">
      <c r="A880" s="36">
        <v>22</v>
      </c>
      <c r="B880" s="243">
        <v>22100666</v>
      </c>
      <c r="C880" s="244" t="s">
        <v>708</v>
      </c>
      <c r="D880" s="241">
        <v>5000000</v>
      </c>
      <c r="E880" s="249"/>
      <c r="F880" s="249"/>
      <c r="G880" s="37"/>
      <c r="H880" s="248">
        <f>D880+G880</f>
        <v>5000000</v>
      </c>
      <c r="I880" s="56"/>
    </row>
    <row r="881" spans="1:9" x14ac:dyDescent="0.25">
      <c r="A881" s="33"/>
      <c r="B881" s="31"/>
      <c r="C881" s="49" t="s">
        <v>38</v>
      </c>
      <c r="D881" s="254">
        <f>SUM(D857:D880)</f>
        <v>418000000</v>
      </c>
      <c r="E881" s="254">
        <f t="shared" ref="E881:H881" si="29">SUM(E857:E880)</f>
        <v>24358405</v>
      </c>
      <c r="F881" s="254">
        <f t="shared" si="29"/>
        <v>10000000</v>
      </c>
      <c r="G881" s="254">
        <f t="shared" si="29"/>
        <v>0</v>
      </c>
      <c r="H881" s="254">
        <f t="shared" si="29"/>
        <v>408000000</v>
      </c>
      <c r="I881" s="33"/>
    </row>
    <row r="882" spans="1:9" x14ac:dyDescent="0.25">
      <c r="A882" s="6"/>
      <c r="B882" s="405"/>
      <c r="C882" s="474"/>
      <c r="D882" s="475"/>
      <c r="E882" s="475"/>
      <c r="F882" s="475"/>
      <c r="G882" s="475"/>
      <c r="H882" s="475"/>
      <c r="I882" s="6"/>
    </row>
    <row r="883" spans="1:9" x14ac:dyDescent="0.25">
      <c r="A883" s="6"/>
      <c r="B883" s="405"/>
      <c r="C883" s="474"/>
      <c r="D883" s="475"/>
      <c r="E883" s="475"/>
      <c r="F883" s="475"/>
      <c r="G883" s="475"/>
      <c r="H883" s="475"/>
      <c r="I883" s="6"/>
    </row>
    <row r="884" spans="1:9" x14ac:dyDescent="0.25">
      <c r="A884" s="6"/>
      <c r="B884" s="405"/>
      <c r="C884" s="474"/>
      <c r="D884" s="475"/>
      <c r="E884" s="475"/>
      <c r="F884" s="475"/>
      <c r="G884" s="475"/>
      <c r="H884" s="475"/>
      <c r="I884" s="6"/>
    </row>
    <row r="885" spans="1:9" x14ac:dyDescent="0.25">
      <c r="A885" s="6"/>
      <c r="B885" s="405"/>
      <c r="C885" s="474"/>
      <c r="D885" s="475"/>
      <c r="E885" s="475"/>
      <c r="F885" s="475"/>
      <c r="G885" s="475"/>
      <c r="H885" s="475"/>
      <c r="I885" s="6"/>
    </row>
    <row r="886" spans="1:9" x14ac:dyDescent="0.25">
      <c r="A886" s="6"/>
      <c r="B886" s="405"/>
      <c r="C886" s="474"/>
      <c r="D886" s="475"/>
      <c r="E886" s="475"/>
      <c r="F886" s="475"/>
      <c r="G886" s="475"/>
      <c r="H886" s="475"/>
      <c r="I886" s="6"/>
    </row>
    <row r="887" spans="1:9" x14ac:dyDescent="0.25">
      <c r="A887" s="6"/>
      <c r="B887" s="405"/>
      <c r="C887" s="474"/>
      <c r="D887" s="475"/>
      <c r="E887" s="475"/>
      <c r="F887" s="475"/>
      <c r="G887" s="475"/>
      <c r="H887" s="475"/>
      <c r="I887" s="6"/>
    </row>
    <row r="888" spans="1:9" x14ac:dyDescent="0.25">
      <c r="A888" s="6"/>
      <c r="B888" s="405"/>
      <c r="C888" s="474"/>
      <c r="D888" s="475"/>
      <c r="E888" s="475"/>
      <c r="F888" s="475"/>
      <c r="G888" s="475"/>
      <c r="H888" s="475"/>
      <c r="I888" s="6"/>
    </row>
    <row r="889" spans="1:9" x14ac:dyDescent="0.25">
      <c r="A889" s="6"/>
      <c r="B889" s="405"/>
      <c r="C889" s="474"/>
      <c r="D889" s="475"/>
      <c r="E889" s="475"/>
      <c r="F889" s="475"/>
      <c r="G889" s="475"/>
      <c r="H889" s="475"/>
      <c r="I889" s="6"/>
    </row>
    <row r="890" spans="1:9" x14ac:dyDescent="0.25">
      <c r="A890" s="6"/>
      <c r="B890" s="405"/>
      <c r="C890" s="474"/>
      <c r="D890" s="475"/>
      <c r="E890" s="475"/>
      <c r="F890" s="475"/>
      <c r="G890" s="475"/>
      <c r="H890" s="475"/>
      <c r="I890" s="6"/>
    </row>
    <row r="891" spans="1:9" x14ac:dyDescent="0.25">
      <c r="A891" s="6"/>
      <c r="B891" s="405"/>
      <c r="C891" s="474"/>
      <c r="D891" s="475"/>
      <c r="E891" s="475"/>
      <c r="F891" s="475"/>
      <c r="G891" s="475"/>
      <c r="H891" s="475"/>
      <c r="I891" s="6"/>
    </row>
    <row r="892" spans="1:9" x14ac:dyDescent="0.25">
      <c r="A892" s="6"/>
      <c r="B892" s="405"/>
      <c r="C892" s="474"/>
      <c r="D892" s="475"/>
      <c r="E892" s="475"/>
      <c r="F892" s="475"/>
      <c r="G892" s="475"/>
      <c r="H892" s="475"/>
      <c r="I892" s="6"/>
    </row>
    <row r="893" spans="1:9" x14ac:dyDescent="0.25">
      <c r="A893" s="6"/>
      <c r="B893" s="405"/>
      <c r="C893" s="474"/>
      <c r="D893" s="475"/>
      <c r="E893" s="475"/>
      <c r="F893" s="475"/>
      <c r="G893" s="475"/>
      <c r="H893" s="475"/>
      <c r="I893" s="6"/>
    </row>
    <row r="894" spans="1:9" x14ac:dyDescent="0.25">
      <c r="A894" s="6"/>
      <c r="B894" s="405"/>
      <c r="C894" s="474"/>
      <c r="D894" s="475"/>
      <c r="E894" s="475"/>
      <c r="F894" s="475"/>
      <c r="G894" s="475"/>
      <c r="H894" s="475"/>
      <c r="I894" s="6"/>
    </row>
    <row r="895" spans="1:9" x14ac:dyDescent="0.25">
      <c r="A895" s="6"/>
      <c r="B895" s="405"/>
      <c r="C895" s="474"/>
      <c r="D895" s="475"/>
      <c r="E895" s="475"/>
      <c r="F895" s="475"/>
      <c r="G895" s="475"/>
      <c r="H895" s="475"/>
      <c r="I895" s="6"/>
    </row>
    <row r="896" spans="1:9" x14ac:dyDescent="0.25">
      <c r="A896" s="6"/>
      <c r="B896" s="405"/>
      <c r="C896" s="474"/>
      <c r="D896" s="475"/>
      <c r="E896" s="475"/>
      <c r="F896" s="475"/>
      <c r="G896" s="475"/>
      <c r="H896" s="475"/>
      <c r="I896" s="6"/>
    </row>
    <row r="897" spans="1:9" x14ac:dyDescent="0.25">
      <c r="A897" s="6"/>
      <c r="B897" s="405"/>
      <c r="C897" s="474"/>
      <c r="D897" s="475"/>
      <c r="E897" s="475"/>
      <c r="F897" s="475"/>
      <c r="G897" s="475"/>
      <c r="H897" s="475"/>
      <c r="I897" s="6"/>
    </row>
    <row r="898" spans="1:9" x14ac:dyDescent="0.25">
      <c r="A898" s="6"/>
      <c r="B898" s="405"/>
      <c r="C898" s="474"/>
      <c r="D898" s="475"/>
      <c r="E898" s="475"/>
      <c r="F898" s="475"/>
      <c r="G898" s="475"/>
      <c r="H898" s="475"/>
      <c r="I898" s="6"/>
    </row>
    <row r="899" spans="1:9" x14ac:dyDescent="0.25">
      <c r="A899" s="6"/>
      <c r="B899" s="405"/>
      <c r="C899" s="474"/>
      <c r="D899" s="475"/>
      <c r="E899" s="475"/>
      <c r="F899" s="475"/>
      <c r="G899" s="475"/>
      <c r="H899" s="475"/>
      <c r="I899" s="6"/>
    </row>
    <row r="900" spans="1:9" x14ac:dyDescent="0.25">
      <c r="A900" s="6"/>
      <c r="B900" s="405"/>
      <c r="C900" s="474"/>
      <c r="D900" s="475"/>
      <c r="E900" s="475"/>
      <c r="F900" s="475"/>
      <c r="G900" s="475"/>
      <c r="H900" s="475"/>
      <c r="I900" s="6"/>
    </row>
    <row r="901" spans="1:9" x14ac:dyDescent="0.25">
      <c r="A901" s="6"/>
      <c r="B901" s="405"/>
      <c r="C901" s="474"/>
      <c r="D901" s="475"/>
      <c r="E901" s="475"/>
      <c r="F901" s="475"/>
      <c r="G901" s="475"/>
      <c r="H901" s="475"/>
      <c r="I901" s="6"/>
    </row>
    <row r="902" spans="1:9" x14ac:dyDescent="0.25">
      <c r="A902" s="6"/>
      <c r="B902" s="405"/>
      <c r="C902" s="474"/>
      <c r="D902" s="475"/>
      <c r="E902" s="475"/>
      <c r="F902" s="475"/>
      <c r="G902" s="475"/>
      <c r="H902" s="475"/>
      <c r="I902" s="6"/>
    </row>
    <row r="903" spans="1:9" x14ac:dyDescent="0.25">
      <c r="A903" s="6"/>
      <c r="B903" s="405"/>
      <c r="C903" s="474"/>
      <c r="D903" s="475"/>
      <c r="E903" s="475"/>
      <c r="F903" s="475"/>
      <c r="G903" s="475"/>
      <c r="H903" s="475"/>
      <c r="I903" s="6"/>
    </row>
    <row r="904" spans="1:9" x14ac:dyDescent="0.25">
      <c r="A904" s="6"/>
      <c r="B904" s="405"/>
      <c r="C904" s="474"/>
      <c r="D904" s="475"/>
      <c r="E904" s="475"/>
      <c r="F904" s="475"/>
      <c r="G904" s="475"/>
      <c r="H904" s="475"/>
      <c r="I904" s="6"/>
    </row>
    <row r="905" spans="1:9" x14ac:dyDescent="0.25">
      <c r="A905" s="6"/>
      <c r="B905" s="405"/>
      <c r="C905" s="474"/>
      <c r="D905" s="475"/>
      <c r="E905" s="475"/>
      <c r="F905" s="475"/>
      <c r="G905" s="475"/>
      <c r="H905" s="475"/>
      <c r="I905" s="6"/>
    </row>
    <row r="906" spans="1:9" x14ac:dyDescent="0.25">
      <c r="A906" s="6"/>
      <c r="B906" s="405"/>
      <c r="C906" s="474"/>
      <c r="D906" s="475"/>
      <c r="E906" s="475"/>
      <c r="F906" s="475"/>
      <c r="G906" s="475"/>
      <c r="H906" s="475"/>
      <c r="I906" s="6"/>
    </row>
    <row r="907" spans="1:9" x14ac:dyDescent="0.25">
      <c r="A907" s="6"/>
      <c r="B907" s="405"/>
      <c r="C907" s="474"/>
      <c r="D907" s="475"/>
      <c r="E907" s="475"/>
      <c r="F907" s="475"/>
      <c r="G907" s="475"/>
      <c r="H907" s="475"/>
      <c r="I907" s="6"/>
    </row>
    <row r="908" spans="1:9" x14ac:dyDescent="0.25">
      <c r="A908" s="628" t="s">
        <v>276</v>
      </c>
      <c r="B908" s="628"/>
      <c r="C908" s="628"/>
      <c r="D908" s="628"/>
      <c r="E908" s="628"/>
      <c r="F908" s="628"/>
      <c r="G908" s="628"/>
      <c r="H908" s="628"/>
      <c r="I908" s="628"/>
    </row>
    <row r="909" spans="1:9" x14ac:dyDescent="0.25">
      <c r="A909" s="628" t="s">
        <v>1176</v>
      </c>
      <c r="B909" s="628"/>
      <c r="C909" s="628"/>
      <c r="D909" s="628"/>
      <c r="E909" s="628"/>
      <c r="F909" s="628"/>
      <c r="G909" s="628"/>
      <c r="H909" s="628"/>
      <c r="I909" s="628"/>
    </row>
    <row r="910" spans="1:9" x14ac:dyDescent="0.25">
      <c r="A910" s="628" t="s">
        <v>34</v>
      </c>
      <c r="B910" s="628"/>
      <c r="C910" s="628"/>
      <c r="D910" s="628"/>
      <c r="E910" s="628"/>
      <c r="F910" s="628"/>
      <c r="G910" s="628"/>
      <c r="H910" s="628"/>
      <c r="I910" s="628"/>
    </row>
    <row r="911" spans="1:9" x14ac:dyDescent="0.25">
      <c r="A911" s="265"/>
      <c r="B911" s="265"/>
      <c r="C911" s="265"/>
      <c r="D911" s="265"/>
      <c r="E911" s="265"/>
      <c r="F911" s="265"/>
      <c r="G911" s="265"/>
      <c r="H911" s="265"/>
    </row>
    <row r="912" spans="1:9" x14ac:dyDescent="0.25">
      <c r="A912" s="72" t="s">
        <v>360</v>
      </c>
      <c r="B912" s="62"/>
      <c r="C912" s="62"/>
      <c r="D912" s="62"/>
      <c r="E912" s="62"/>
      <c r="F912" s="62"/>
      <c r="G912" s="62"/>
      <c r="H912" s="63"/>
    </row>
    <row r="913" spans="1:9" x14ac:dyDescent="0.25">
      <c r="A913" s="63"/>
      <c r="B913" s="265"/>
      <c r="C913" s="63"/>
      <c r="D913" s="63"/>
      <c r="E913" s="63"/>
      <c r="F913" s="63"/>
      <c r="G913" s="63"/>
      <c r="H913" s="63"/>
    </row>
    <row r="914" spans="1:9" x14ac:dyDescent="0.25">
      <c r="A914" s="64" t="s">
        <v>359</v>
      </c>
      <c r="B914" s="64"/>
      <c r="C914" s="64"/>
      <c r="D914" s="63"/>
      <c r="E914" s="63"/>
      <c r="F914" s="63"/>
      <c r="G914" s="63"/>
      <c r="H914" s="63"/>
    </row>
    <row r="915" spans="1:9" ht="36.75" x14ac:dyDescent="0.25">
      <c r="A915" s="46" t="s">
        <v>0</v>
      </c>
      <c r="B915" s="65" t="s">
        <v>35</v>
      </c>
      <c r="C915" s="65" t="s">
        <v>36</v>
      </c>
      <c r="D915" s="65" t="s">
        <v>279</v>
      </c>
      <c r="E915" s="65" t="s">
        <v>222</v>
      </c>
      <c r="F915" s="65" t="s">
        <v>273</v>
      </c>
      <c r="G915" s="66" t="s">
        <v>37</v>
      </c>
      <c r="H915" s="66" t="s">
        <v>1175</v>
      </c>
      <c r="I915" s="66" t="s">
        <v>209</v>
      </c>
    </row>
    <row r="916" spans="1:9" x14ac:dyDescent="0.25">
      <c r="A916" s="36">
        <v>1</v>
      </c>
      <c r="B916" s="243">
        <v>22100204</v>
      </c>
      <c r="C916" s="244" t="s">
        <v>361</v>
      </c>
      <c r="D916" s="241">
        <v>1000000</v>
      </c>
      <c r="E916" s="249">
        <v>0</v>
      </c>
      <c r="F916" s="249">
        <v>0</v>
      </c>
      <c r="G916" s="249">
        <v>0</v>
      </c>
      <c r="H916" s="50">
        <f t="shared" ref="H916:H932" si="30">D916+G916</f>
        <v>1000000</v>
      </c>
      <c r="I916" s="56"/>
    </row>
    <row r="917" spans="1:9" ht="23.25" x14ac:dyDescent="0.25">
      <c r="A917" s="36">
        <v>2</v>
      </c>
      <c r="B917" s="243">
        <v>22100454</v>
      </c>
      <c r="C917" s="244" t="s">
        <v>346</v>
      </c>
      <c r="D917" s="242">
        <v>0</v>
      </c>
      <c r="E917" s="249">
        <v>0</v>
      </c>
      <c r="F917" s="249">
        <v>0</v>
      </c>
      <c r="G917" s="249">
        <v>4000000</v>
      </c>
      <c r="H917" s="50">
        <f t="shared" si="30"/>
        <v>4000000</v>
      </c>
      <c r="I917" s="56" t="s">
        <v>208</v>
      </c>
    </row>
    <row r="918" spans="1:9" x14ac:dyDescent="0.25">
      <c r="A918" s="36">
        <v>3</v>
      </c>
      <c r="B918" s="243">
        <v>22100557</v>
      </c>
      <c r="C918" s="244" t="s">
        <v>362</v>
      </c>
      <c r="D918" s="241">
        <v>27000000</v>
      </c>
      <c r="E918" s="249">
        <v>3154000</v>
      </c>
      <c r="F918" s="249">
        <v>0</v>
      </c>
      <c r="G918" s="249">
        <v>0</v>
      </c>
      <c r="H918" s="50">
        <f t="shared" si="30"/>
        <v>27000000</v>
      </c>
      <c r="I918" s="56"/>
    </row>
    <row r="919" spans="1:9" ht="23.25" x14ac:dyDescent="0.25">
      <c r="A919" s="36">
        <v>4</v>
      </c>
      <c r="B919" s="243">
        <v>22100558</v>
      </c>
      <c r="C919" s="244" t="s">
        <v>363</v>
      </c>
      <c r="D919" s="241">
        <v>2000000</v>
      </c>
      <c r="E919" s="249">
        <v>0</v>
      </c>
      <c r="F919" s="249">
        <v>0</v>
      </c>
      <c r="G919" s="249">
        <v>0</v>
      </c>
      <c r="H919" s="50">
        <f t="shared" si="30"/>
        <v>2000000</v>
      </c>
      <c r="I919" s="56"/>
    </row>
    <row r="920" spans="1:9" ht="23.25" x14ac:dyDescent="0.25">
      <c r="A920" s="36">
        <v>5</v>
      </c>
      <c r="B920" s="243">
        <v>22100559</v>
      </c>
      <c r="C920" s="244" t="s">
        <v>364</v>
      </c>
      <c r="D920" s="241">
        <v>1000000</v>
      </c>
      <c r="E920" s="249">
        <v>1000000</v>
      </c>
      <c r="F920" s="249">
        <v>0</v>
      </c>
      <c r="G920" s="249">
        <v>1000000</v>
      </c>
      <c r="H920" s="50">
        <f t="shared" si="30"/>
        <v>2000000</v>
      </c>
      <c r="I920" s="56"/>
    </row>
    <row r="921" spans="1:9" x14ac:dyDescent="0.25">
      <c r="A921" s="36">
        <v>6</v>
      </c>
      <c r="B921" s="243">
        <v>22100560</v>
      </c>
      <c r="C921" s="244" t="s">
        <v>365</v>
      </c>
      <c r="D921" s="241">
        <v>1000000</v>
      </c>
      <c r="E921" s="249">
        <v>0</v>
      </c>
      <c r="F921" s="249">
        <v>0</v>
      </c>
      <c r="G921" s="249">
        <v>0</v>
      </c>
      <c r="H921" s="50">
        <f t="shared" si="30"/>
        <v>1000000</v>
      </c>
      <c r="I921" s="83"/>
    </row>
    <row r="922" spans="1:9" x14ac:dyDescent="0.25">
      <c r="A922" s="36">
        <v>7</v>
      </c>
      <c r="B922" s="243">
        <v>22100561</v>
      </c>
      <c r="C922" s="244" t="s">
        <v>366</v>
      </c>
      <c r="D922" s="241">
        <v>1000000</v>
      </c>
      <c r="E922" s="249">
        <v>0</v>
      </c>
      <c r="F922" s="249">
        <v>0</v>
      </c>
      <c r="G922" s="249">
        <v>0</v>
      </c>
      <c r="H922" s="50">
        <f t="shared" si="30"/>
        <v>1000000</v>
      </c>
      <c r="I922" s="83"/>
    </row>
    <row r="923" spans="1:9" ht="23.25" x14ac:dyDescent="0.25">
      <c r="A923" s="36">
        <v>8</v>
      </c>
      <c r="B923" s="243">
        <v>22100562</v>
      </c>
      <c r="C923" s="244" t="s">
        <v>367</v>
      </c>
      <c r="D923" s="241">
        <v>1500000</v>
      </c>
      <c r="E923" s="249">
        <v>0</v>
      </c>
      <c r="F923" s="249">
        <v>0</v>
      </c>
      <c r="G923" s="249">
        <v>0</v>
      </c>
      <c r="H923" s="60">
        <f t="shared" si="30"/>
        <v>1500000</v>
      </c>
      <c r="I923" s="56"/>
    </row>
    <row r="924" spans="1:9" x14ac:dyDescent="0.25">
      <c r="A924" s="36">
        <v>9</v>
      </c>
      <c r="B924" s="243">
        <v>22100563</v>
      </c>
      <c r="C924" s="244" t="s">
        <v>368</v>
      </c>
      <c r="D924" s="241">
        <v>5000000</v>
      </c>
      <c r="E924" s="249">
        <v>0</v>
      </c>
      <c r="F924" s="249">
        <v>0</v>
      </c>
      <c r="G924" s="249">
        <v>0</v>
      </c>
      <c r="H924" s="50">
        <f t="shared" si="30"/>
        <v>5000000</v>
      </c>
      <c r="I924" s="56"/>
    </row>
    <row r="925" spans="1:9" ht="45.75" x14ac:dyDescent="0.25">
      <c r="A925" s="36">
        <v>10</v>
      </c>
      <c r="B925" s="243">
        <v>22100564</v>
      </c>
      <c r="C925" s="244" t="s">
        <v>369</v>
      </c>
      <c r="D925" s="241">
        <v>2000000</v>
      </c>
      <c r="E925" s="249">
        <v>0</v>
      </c>
      <c r="F925" s="249">
        <v>0</v>
      </c>
      <c r="G925" s="249">
        <v>0</v>
      </c>
      <c r="H925" s="50">
        <f t="shared" si="30"/>
        <v>2000000</v>
      </c>
      <c r="I925" s="56"/>
    </row>
    <row r="926" spans="1:9" x14ac:dyDescent="0.25">
      <c r="A926" s="36">
        <v>11</v>
      </c>
      <c r="B926" s="243">
        <v>22100565</v>
      </c>
      <c r="C926" s="244" t="s">
        <v>370</v>
      </c>
      <c r="D926" s="241">
        <v>2000000</v>
      </c>
      <c r="E926" s="249">
        <v>0</v>
      </c>
      <c r="F926" s="249">
        <v>0</v>
      </c>
      <c r="G926" s="249">
        <v>0</v>
      </c>
      <c r="H926" s="50">
        <f t="shared" si="30"/>
        <v>2000000</v>
      </c>
      <c r="I926" s="56"/>
    </row>
    <row r="927" spans="1:9" ht="23.25" x14ac:dyDescent="0.25">
      <c r="A927" s="36">
        <v>12</v>
      </c>
      <c r="B927" s="243">
        <v>22100566</v>
      </c>
      <c r="C927" s="244" t="s">
        <v>371</v>
      </c>
      <c r="D927" s="241">
        <v>500000</v>
      </c>
      <c r="E927" s="249">
        <v>0</v>
      </c>
      <c r="F927" s="249">
        <v>0</v>
      </c>
      <c r="G927" s="249">
        <v>0</v>
      </c>
      <c r="H927" s="50">
        <f t="shared" si="30"/>
        <v>500000</v>
      </c>
      <c r="I927" s="56"/>
    </row>
    <row r="928" spans="1:9" x14ac:dyDescent="0.25">
      <c r="A928" s="36">
        <v>13</v>
      </c>
      <c r="B928" s="243">
        <v>22100567</v>
      </c>
      <c r="C928" s="244" t="s">
        <v>372</v>
      </c>
      <c r="D928" s="241">
        <v>500000</v>
      </c>
      <c r="E928" s="249">
        <v>0</v>
      </c>
      <c r="F928" s="249">
        <v>0</v>
      </c>
      <c r="G928" s="249">
        <v>0</v>
      </c>
      <c r="H928" s="50">
        <f t="shared" si="30"/>
        <v>500000</v>
      </c>
      <c r="I928" s="56"/>
    </row>
    <row r="929" spans="1:9" ht="23.25" x14ac:dyDescent="0.25">
      <c r="A929" s="36">
        <v>14</v>
      </c>
      <c r="B929" s="243">
        <v>22100568</v>
      </c>
      <c r="C929" s="244" t="s">
        <v>373</v>
      </c>
      <c r="D929" s="241">
        <v>2000000</v>
      </c>
      <c r="E929" s="249">
        <v>2519405</v>
      </c>
      <c r="F929" s="249">
        <v>0</v>
      </c>
      <c r="G929" s="249">
        <v>2000000</v>
      </c>
      <c r="H929" s="50">
        <f t="shared" si="30"/>
        <v>4000000</v>
      </c>
      <c r="I929" s="56" t="s">
        <v>208</v>
      </c>
    </row>
    <row r="930" spans="1:9" ht="23.25" x14ac:dyDescent="0.25">
      <c r="A930" s="36">
        <v>15</v>
      </c>
      <c r="B930" s="243">
        <v>22100569</v>
      </c>
      <c r="C930" s="244" t="s">
        <v>374</v>
      </c>
      <c r="D930" s="241">
        <v>500000</v>
      </c>
      <c r="E930" s="249">
        <v>0</v>
      </c>
      <c r="F930" s="249">
        <v>0</v>
      </c>
      <c r="G930" s="249">
        <v>0</v>
      </c>
      <c r="H930" s="50">
        <f t="shared" si="30"/>
        <v>500000</v>
      </c>
      <c r="I930" s="56"/>
    </row>
    <row r="931" spans="1:9" x14ac:dyDescent="0.25">
      <c r="A931" s="36">
        <v>16</v>
      </c>
      <c r="B931" s="243">
        <v>22100570</v>
      </c>
      <c r="C931" s="244" t="s">
        <v>375</v>
      </c>
      <c r="D931" s="241">
        <v>17000000</v>
      </c>
      <c r="E931" s="249">
        <v>6990000</v>
      </c>
      <c r="F931" s="249">
        <v>0</v>
      </c>
      <c r="G931" s="249">
        <v>0</v>
      </c>
      <c r="H931" s="248">
        <f t="shared" si="30"/>
        <v>17000000</v>
      </c>
      <c r="I931" s="56"/>
    </row>
    <row r="932" spans="1:9" ht="23.25" x14ac:dyDescent="0.25">
      <c r="A932" s="36">
        <v>17</v>
      </c>
      <c r="B932" s="243">
        <v>22100637</v>
      </c>
      <c r="C932" s="244" t="s">
        <v>376</v>
      </c>
      <c r="D932" s="241">
        <v>2000000</v>
      </c>
      <c r="E932" s="249">
        <v>0</v>
      </c>
      <c r="F932" s="249">
        <v>0</v>
      </c>
      <c r="G932" s="37"/>
      <c r="H932" s="248">
        <f t="shared" si="30"/>
        <v>2000000</v>
      </c>
      <c r="I932" s="56"/>
    </row>
    <row r="933" spans="1:9" x14ac:dyDescent="0.25">
      <c r="A933" s="33"/>
      <c r="B933" s="31"/>
      <c r="C933" s="49" t="s">
        <v>38</v>
      </c>
      <c r="D933" s="254">
        <f>SUM(D916:D932)</f>
        <v>66000000</v>
      </c>
      <c r="E933" s="254">
        <f>SUM(E916:E932)</f>
        <v>13663405</v>
      </c>
      <c r="F933" s="254">
        <f>SUM(F916:F932)</f>
        <v>0</v>
      </c>
      <c r="G933" s="254">
        <f>SUM(G916:G932)</f>
        <v>7000000</v>
      </c>
      <c r="H933" s="254">
        <f>SUM(H916:H932)</f>
        <v>73000000</v>
      </c>
      <c r="I933" s="33"/>
    </row>
    <row r="934" spans="1:9" x14ac:dyDescent="0.25">
      <c r="A934" s="6"/>
      <c r="B934" s="405"/>
      <c r="C934" s="474"/>
      <c r="D934" s="475"/>
      <c r="E934" s="475"/>
      <c r="F934" s="475"/>
      <c r="G934" s="475"/>
      <c r="H934" s="475"/>
      <c r="I934" s="6"/>
    </row>
    <row r="935" spans="1:9" x14ac:dyDescent="0.25">
      <c r="A935" s="628" t="s">
        <v>276</v>
      </c>
      <c r="B935" s="628"/>
      <c r="C935" s="628"/>
      <c r="D935" s="628"/>
      <c r="E935" s="628"/>
      <c r="F935" s="628"/>
      <c r="G935" s="628"/>
      <c r="H935" s="628"/>
      <c r="I935" s="628"/>
    </row>
    <row r="936" spans="1:9" x14ac:dyDescent="0.25">
      <c r="A936" s="628" t="s">
        <v>1176</v>
      </c>
      <c r="B936" s="628"/>
      <c r="C936" s="628"/>
      <c r="D936" s="628"/>
      <c r="E936" s="628"/>
      <c r="F936" s="628"/>
      <c r="G936" s="628"/>
      <c r="H936" s="628"/>
      <c r="I936" s="628"/>
    </row>
    <row r="937" spans="1:9" x14ac:dyDescent="0.25">
      <c r="A937" s="628" t="s">
        <v>34</v>
      </c>
      <c r="B937" s="628"/>
      <c r="C937" s="628"/>
      <c r="D937" s="628"/>
      <c r="E937" s="628"/>
      <c r="F937" s="628"/>
      <c r="G937" s="628"/>
      <c r="H937" s="628"/>
      <c r="I937" s="628"/>
    </row>
    <row r="938" spans="1:9" x14ac:dyDescent="0.25">
      <c r="A938" s="393"/>
      <c r="B938" s="393"/>
      <c r="C938" s="393"/>
      <c r="D938" s="393"/>
      <c r="E938" s="393"/>
      <c r="F938" s="393"/>
      <c r="G938" s="393"/>
      <c r="H938" s="393"/>
    </row>
    <row r="939" spans="1:9" x14ac:dyDescent="0.25">
      <c r="A939" s="72" t="s">
        <v>1021</v>
      </c>
      <c r="B939" s="62"/>
      <c r="C939" s="62"/>
      <c r="D939" s="62"/>
      <c r="E939" s="62"/>
      <c r="F939" s="62"/>
      <c r="G939" s="62"/>
      <c r="H939" s="63"/>
    </row>
    <row r="940" spans="1:9" x14ac:dyDescent="0.25">
      <c r="A940" s="63"/>
      <c r="B940" s="393"/>
      <c r="C940" s="63"/>
      <c r="D940" s="63"/>
      <c r="E940" s="63"/>
      <c r="F940" s="63"/>
      <c r="G940" s="63"/>
      <c r="H940" s="63"/>
    </row>
    <row r="941" spans="1:9" x14ac:dyDescent="0.25">
      <c r="A941" s="64" t="s">
        <v>1022</v>
      </c>
      <c r="B941" s="64"/>
      <c r="C941" s="64"/>
      <c r="D941" s="63"/>
      <c r="E941" s="63"/>
      <c r="F941" s="63"/>
      <c r="G941" s="63"/>
      <c r="H941" s="63"/>
    </row>
    <row r="942" spans="1:9" ht="36.75" x14ac:dyDescent="0.25">
      <c r="A942" s="46" t="s">
        <v>0</v>
      </c>
      <c r="B942" s="65" t="s">
        <v>35</v>
      </c>
      <c r="C942" s="65" t="s">
        <v>36</v>
      </c>
      <c r="D942" s="65" t="s">
        <v>279</v>
      </c>
      <c r="E942" s="65" t="s">
        <v>222</v>
      </c>
      <c r="F942" s="65" t="s">
        <v>273</v>
      </c>
      <c r="G942" s="65" t="s">
        <v>37</v>
      </c>
      <c r="H942" s="65" t="s">
        <v>1175</v>
      </c>
      <c r="I942" s="65" t="s">
        <v>209</v>
      </c>
    </row>
    <row r="943" spans="1:9" ht="23.25" x14ac:dyDescent="0.25">
      <c r="A943" s="476">
        <v>1</v>
      </c>
      <c r="B943" s="243">
        <v>22100286</v>
      </c>
      <c r="C943" s="244" t="s">
        <v>306</v>
      </c>
      <c r="D943" s="241">
        <v>1000000</v>
      </c>
      <c r="E943" s="155">
        <v>0</v>
      </c>
      <c r="F943" s="155">
        <v>0</v>
      </c>
      <c r="G943" s="245">
        <v>0</v>
      </c>
      <c r="H943" s="50">
        <f t="shared" ref="H943:H959" si="31">D943+G943-F943</f>
        <v>1000000</v>
      </c>
      <c r="I943" s="56"/>
    </row>
    <row r="944" spans="1:9" x14ac:dyDescent="0.25">
      <c r="A944" s="476">
        <v>2</v>
      </c>
      <c r="B944" s="243">
        <v>22100342</v>
      </c>
      <c r="C944" s="244" t="s">
        <v>1023</v>
      </c>
      <c r="D944" s="241">
        <v>1000000</v>
      </c>
      <c r="E944" s="155">
        <v>0</v>
      </c>
      <c r="F944" s="155">
        <v>0</v>
      </c>
      <c r="G944" s="245">
        <v>0</v>
      </c>
      <c r="H944" s="50">
        <f t="shared" si="31"/>
        <v>1000000</v>
      </c>
      <c r="I944" s="56"/>
    </row>
    <row r="945" spans="1:9" x14ac:dyDescent="0.25">
      <c r="A945" s="476">
        <v>3</v>
      </c>
      <c r="B945" s="243">
        <v>22100491</v>
      </c>
      <c r="C945" s="244" t="s">
        <v>295</v>
      </c>
      <c r="D945" s="241">
        <v>1000000</v>
      </c>
      <c r="E945" s="155"/>
      <c r="F945" s="155"/>
      <c r="G945" s="245"/>
      <c r="H945" s="50">
        <f t="shared" si="31"/>
        <v>1000000</v>
      </c>
      <c r="I945" s="56"/>
    </row>
    <row r="946" spans="1:9" x14ac:dyDescent="0.25">
      <c r="A946" s="476">
        <v>4</v>
      </c>
      <c r="B946" s="243">
        <v>22100526</v>
      </c>
      <c r="C946" s="244" t="s">
        <v>693</v>
      </c>
      <c r="D946" s="241">
        <v>1000000</v>
      </c>
      <c r="E946" s="155"/>
      <c r="F946" s="155"/>
      <c r="G946" s="245"/>
      <c r="H946" s="50">
        <f t="shared" si="31"/>
        <v>1000000</v>
      </c>
      <c r="I946" s="56"/>
    </row>
    <row r="947" spans="1:9" ht="23.25" x14ac:dyDescent="0.25">
      <c r="A947" s="476">
        <v>5</v>
      </c>
      <c r="B947" s="243">
        <v>22100528</v>
      </c>
      <c r="C947" s="244" t="s">
        <v>695</v>
      </c>
      <c r="D947" s="241">
        <v>1500000</v>
      </c>
      <c r="E947" s="155"/>
      <c r="F947" s="155"/>
      <c r="G947" s="245"/>
      <c r="H947" s="50">
        <f t="shared" si="31"/>
        <v>1500000</v>
      </c>
      <c r="I947" s="56"/>
    </row>
    <row r="948" spans="1:9" ht="23.25" x14ac:dyDescent="0.25">
      <c r="A948" s="476">
        <v>6</v>
      </c>
      <c r="B948" s="243">
        <v>22100530</v>
      </c>
      <c r="C948" s="244" t="s">
        <v>697</v>
      </c>
      <c r="D948" s="241">
        <v>1000000</v>
      </c>
      <c r="E948" s="155">
        <v>0</v>
      </c>
      <c r="F948" s="155">
        <v>0</v>
      </c>
      <c r="G948" s="245">
        <v>0</v>
      </c>
      <c r="H948" s="50">
        <f t="shared" si="31"/>
        <v>1000000</v>
      </c>
      <c r="I948" s="56"/>
    </row>
    <row r="949" spans="1:9" ht="23.25" x14ac:dyDescent="0.25">
      <c r="A949" s="476">
        <v>7</v>
      </c>
      <c r="B949" s="243">
        <v>22100531</v>
      </c>
      <c r="C949" s="244" t="s">
        <v>1024</v>
      </c>
      <c r="D949" s="241">
        <v>1000000</v>
      </c>
      <c r="E949" s="155"/>
      <c r="F949" s="155"/>
      <c r="G949" s="245"/>
      <c r="H949" s="50">
        <f t="shared" si="31"/>
        <v>1000000</v>
      </c>
      <c r="I949" s="56"/>
    </row>
    <row r="950" spans="1:9" x14ac:dyDescent="0.25">
      <c r="A950" s="476">
        <v>8</v>
      </c>
      <c r="B950" s="243">
        <v>22100532</v>
      </c>
      <c r="C950" s="244" t="s">
        <v>698</v>
      </c>
      <c r="D950" s="241">
        <v>500000</v>
      </c>
      <c r="E950" s="155"/>
      <c r="F950" s="155"/>
      <c r="G950" s="245"/>
      <c r="H950" s="50">
        <f t="shared" si="31"/>
        <v>500000</v>
      </c>
      <c r="I950" s="56"/>
    </row>
    <row r="951" spans="1:9" ht="23.25" x14ac:dyDescent="0.25">
      <c r="A951" s="476">
        <v>9</v>
      </c>
      <c r="B951" s="243">
        <v>22100544</v>
      </c>
      <c r="C951" s="244" t="s">
        <v>1025</v>
      </c>
      <c r="D951" s="241">
        <v>20000000</v>
      </c>
      <c r="E951" s="155"/>
      <c r="F951" s="155"/>
      <c r="G951" s="245"/>
      <c r="H951" s="50">
        <f t="shared" si="31"/>
        <v>20000000</v>
      </c>
      <c r="I951" s="56"/>
    </row>
    <row r="952" spans="1:9" x14ac:dyDescent="0.25">
      <c r="A952" s="476">
        <v>10</v>
      </c>
      <c r="B952" s="243">
        <v>22100545</v>
      </c>
      <c r="C952" s="244" t="s">
        <v>1026</v>
      </c>
      <c r="D952" s="241">
        <v>8500000</v>
      </c>
      <c r="E952" s="155"/>
      <c r="F952" s="155"/>
      <c r="G952" s="245"/>
      <c r="H952" s="50">
        <f t="shared" si="31"/>
        <v>8500000</v>
      </c>
      <c r="I952" s="56"/>
    </row>
    <row r="953" spans="1:9" x14ac:dyDescent="0.25">
      <c r="A953" s="476">
        <v>11</v>
      </c>
      <c r="B953" s="243">
        <v>22100546</v>
      </c>
      <c r="C953" s="244" t="s">
        <v>1027</v>
      </c>
      <c r="D953" s="242">
        <v>0</v>
      </c>
      <c r="E953" s="155"/>
      <c r="F953" s="155"/>
      <c r="G953" s="245"/>
      <c r="H953" s="50">
        <f t="shared" si="31"/>
        <v>0</v>
      </c>
      <c r="I953" s="56"/>
    </row>
    <row r="954" spans="1:9" ht="23.25" x14ac:dyDescent="0.25">
      <c r="A954" s="476">
        <v>12</v>
      </c>
      <c r="B954" s="243">
        <v>22100549</v>
      </c>
      <c r="C954" s="244" t="s">
        <v>1028</v>
      </c>
      <c r="D954" s="241">
        <v>2500000</v>
      </c>
      <c r="E954" s="155"/>
      <c r="F954" s="155"/>
      <c r="G954" s="245"/>
      <c r="H954" s="50">
        <f t="shared" si="31"/>
        <v>2500000</v>
      </c>
      <c r="I954" s="56"/>
    </row>
    <row r="955" spans="1:9" x14ac:dyDescent="0.25">
      <c r="A955" s="476">
        <v>13</v>
      </c>
      <c r="B955" s="243">
        <v>22100550</v>
      </c>
      <c r="C955" s="244" t="s">
        <v>1029</v>
      </c>
      <c r="D955" s="241">
        <v>22000000</v>
      </c>
      <c r="E955" s="155"/>
      <c r="F955" s="155"/>
      <c r="G955" s="245"/>
      <c r="H955" s="50">
        <f t="shared" si="31"/>
        <v>22000000</v>
      </c>
      <c r="I955" s="56"/>
    </row>
    <row r="956" spans="1:9" x14ac:dyDescent="0.25">
      <c r="A956" s="476">
        <v>14</v>
      </c>
      <c r="B956" s="243">
        <v>22100551</v>
      </c>
      <c r="C956" s="244" t="s">
        <v>1030</v>
      </c>
      <c r="D956" s="241">
        <v>13000000</v>
      </c>
      <c r="E956" s="155"/>
      <c r="F956" s="155"/>
      <c r="G956" s="245"/>
      <c r="H956" s="50">
        <f t="shared" si="31"/>
        <v>13000000</v>
      </c>
      <c r="I956" s="56"/>
    </row>
    <row r="957" spans="1:9" ht="34.5" x14ac:dyDescent="0.25">
      <c r="A957" s="476">
        <v>15</v>
      </c>
      <c r="B957" s="243">
        <v>22100552</v>
      </c>
      <c r="C957" s="244" t="s">
        <v>1031</v>
      </c>
      <c r="D957" s="241">
        <v>3500000</v>
      </c>
      <c r="E957" s="155"/>
      <c r="F957" s="155"/>
      <c r="G957" s="245"/>
      <c r="H957" s="50">
        <f t="shared" si="31"/>
        <v>3500000</v>
      </c>
      <c r="I957" s="56"/>
    </row>
    <row r="958" spans="1:9" ht="23.25" x14ac:dyDescent="0.25">
      <c r="A958" s="478">
        <v>16</v>
      </c>
      <c r="B958" s="383">
        <v>22100553</v>
      </c>
      <c r="C958" s="332" t="s">
        <v>1032</v>
      </c>
      <c r="D958" s="433">
        <v>1500000</v>
      </c>
      <c r="E958" s="226"/>
      <c r="F958" s="226"/>
      <c r="G958" s="479"/>
      <c r="H958" s="480">
        <f t="shared" si="31"/>
        <v>1500000</v>
      </c>
      <c r="I958" s="291"/>
    </row>
    <row r="959" spans="1:9" x14ac:dyDescent="0.25">
      <c r="A959" s="36">
        <v>17</v>
      </c>
      <c r="B959" s="243">
        <v>22100554</v>
      </c>
      <c r="C959" s="244" t="s">
        <v>1033</v>
      </c>
      <c r="D959" s="241">
        <v>6500000</v>
      </c>
      <c r="E959" s="155"/>
      <c r="F959" s="155"/>
      <c r="G959" s="245"/>
      <c r="H959" s="50">
        <f t="shared" si="31"/>
        <v>6500000</v>
      </c>
      <c r="I959" s="56"/>
    </row>
    <row r="960" spans="1:9" x14ac:dyDescent="0.25">
      <c r="A960" s="39"/>
      <c r="B960" s="434"/>
      <c r="C960" s="435"/>
      <c r="D960" s="436"/>
      <c r="E960" s="199"/>
      <c r="F960" s="199"/>
      <c r="G960" s="481"/>
      <c r="H960" s="189"/>
      <c r="I960" s="426"/>
    </row>
    <row r="961" spans="1:9" ht="36.75" x14ac:dyDescent="0.25">
      <c r="A961" s="201" t="s">
        <v>0</v>
      </c>
      <c r="B961" s="65" t="s">
        <v>35</v>
      </c>
      <c r="C961" s="65" t="s">
        <v>36</v>
      </c>
      <c r="D961" s="65" t="s">
        <v>279</v>
      </c>
      <c r="E961" s="65" t="s">
        <v>222</v>
      </c>
      <c r="F961" s="65" t="s">
        <v>273</v>
      </c>
      <c r="G961" s="65" t="s">
        <v>37</v>
      </c>
      <c r="H961" s="65" t="s">
        <v>1175</v>
      </c>
      <c r="I961" s="65" t="s">
        <v>209</v>
      </c>
    </row>
    <row r="962" spans="1:9" ht="34.5" x14ac:dyDescent="0.25">
      <c r="A962" s="36">
        <v>18</v>
      </c>
      <c r="B962" s="243">
        <v>22100555</v>
      </c>
      <c r="C962" s="244" t="s">
        <v>1034</v>
      </c>
      <c r="D962" s="241">
        <v>4500000</v>
      </c>
      <c r="E962" s="155"/>
      <c r="F962" s="155"/>
      <c r="G962" s="245"/>
      <c r="H962" s="50">
        <f t="shared" ref="H962:H974" si="32">D962+G962-F962</f>
        <v>4500000</v>
      </c>
      <c r="I962" s="56"/>
    </row>
    <row r="963" spans="1:9" ht="34.5" x14ac:dyDescent="0.25">
      <c r="A963" s="476">
        <v>19</v>
      </c>
      <c r="B963" s="243">
        <v>22100556</v>
      </c>
      <c r="C963" s="244" t="s">
        <v>1035</v>
      </c>
      <c r="D963" s="241">
        <v>2000000</v>
      </c>
      <c r="E963" s="155"/>
      <c r="F963" s="155"/>
      <c r="G963" s="245"/>
      <c r="H963" s="50">
        <f t="shared" si="32"/>
        <v>2000000</v>
      </c>
      <c r="I963" s="56"/>
    </row>
    <row r="964" spans="1:9" ht="23.25" x14ac:dyDescent="0.25">
      <c r="A964" s="476">
        <v>20</v>
      </c>
      <c r="B964" s="243">
        <v>22100581</v>
      </c>
      <c r="C964" s="244" t="s">
        <v>1036</v>
      </c>
      <c r="D964" s="241">
        <v>3000000</v>
      </c>
      <c r="E964" s="155"/>
      <c r="F964" s="155"/>
      <c r="G964" s="245"/>
      <c r="H964" s="50">
        <f t="shared" si="32"/>
        <v>3000000</v>
      </c>
      <c r="I964" s="56"/>
    </row>
    <row r="965" spans="1:9" x14ac:dyDescent="0.25">
      <c r="A965" s="476">
        <v>21</v>
      </c>
      <c r="B965" s="243">
        <v>22100643</v>
      </c>
      <c r="C965" s="244" t="s">
        <v>464</v>
      </c>
      <c r="D965" s="241">
        <v>25000000</v>
      </c>
      <c r="E965" s="155"/>
      <c r="F965" s="155">
        <v>15000000</v>
      </c>
      <c r="G965" s="245"/>
      <c r="H965" s="50">
        <f t="shared" si="32"/>
        <v>10000000</v>
      </c>
      <c r="I965" s="56" t="s">
        <v>235</v>
      </c>
    </row>
    <row r="966" spans="1:9" x14ac:dyDescent="0.25">
      <c r="A966" s="476">
        <v>22</v>
      </c>
      <c r="B966" s="243">
        <v>22100644</v>
      </c>
      <c r="C966" s="244" t="s">
        <v>1037</v>
      </c>
      <c r="D966" s="241">
        <v>500000</v>
      </c>
      <c r="E966" s="155"/>
      <c r="F966" s="155"/>
      <c r="G966" s="245"/>
      <c r="H966" s="50">
        <f t="shared" si="32"/>
        <v>500000</v>
      </c>
      <c r="I966" s="56"/>
    </row>
    <row r="967" spans="1:9" x14ac:dyDescent="0.25">
      <c r="A967" s="476">
        <v>23</v>
      </c>
      <c r="B967" s="243">
        <v>22100645</v>
      </c>
      <c r="C967" s="244" t="s">
        <v>1038</v>
      </c>
      <c r="D967" s="241">
        <v>700000</v>
      </c>
      <c r="E967" s="254"/>
      <c r="F967" s="254"/>
      <c r="G967" s="254"/>
      <c r="H967" s="50">
        <f t="shared" si="32"/>
        <v>700000</v>
      </c>
      <c r="I967" s="33"/>
    </row>
    <row r="968" spans="1:9" x14ac:dyDescent="0.25">
      <c r="A968" s="476">
        <v>24</v>
      </c>
      <c r="B968" s="243">
        <v>22100646</v>
      </c>
      <c r="C968" s="244" t="s">
        <v>1039</v>
      </c>
      <c r="D968" s="241">
        <v>500000</v>
      </c>
      <c r="E968" s="254"/>
      <c r="F968" s="254"/>
      <c r="G968" s="254"/>
      <c r="H968" s="50">
        <f t="shared" si="32"/>
        <v>500000</v>
      </c>
      <c r="I968" s="33"/>
    </row>
    <row r="969" spans="1:9" ht="34.5" x14ac:dyDescent="0.25">
      <c r="A969" s="476">
        <v>25</v>
      </c>
      <c r="B969" s="243">
        <v>22100647</v>
      </c>
      <c r="C969" s="244" t="s">
        <v>1040</v>
      </c>
      <c r="D969" s="241">
        <v>2000000</v>
      </c>
      <c r="E969" s="254"/>
      <c r="F969" s="254"/>
      <c r="G969" s="254"/>
      <c r="H969" s="50">
        <f t="shared" si="32"/>
        <v>2000000</v>
      </c>
      <c r="I969" s="33"/>
    </row>
    <row r="970" spans="1:9" x14ac:dyDescent="0.25">
      <c r="A970" s="476">
        <v>26</v>
      </c>
      <c r="B970" s="243">
        <v>22100648</v>
      </c>
      <c r="C970" s="244" t="s">
        <v>1041</v>
      </c>
      <c r="D970" s="241">
        <v>1500000</v>
      </c>
      <c r="E970" s="254"/>
      <c r="F970" s="254"/>
      <c r="G970" s="254"/>
      <c r="H970" s="50">
        <f t="shared" si="32"/>
        <v>1500000</v>
      </c>
      <c r="I970" s="33"/>
    </row>
    <row r="971" spans="1:9" x14ac:dyDescent="0.25">
      <c r="A971" s="476">
        <v>27</v>
      </c>
      <c r="B971" s="243">
        <v>22100669</v>
      </c>
      <c r="C971" s="244" t="s">
        <v>1042</v>
      </c>
      <c r="D971" s="241">
        <v>1500000</v>
      </c>
      <c r="E971" s="254"/>
      <c r="F971" s="254"/>
      <c r="G971" s="254"/>
      <c r="H971" s="50">
        <f t="shared" si="32"/>
        <v>1500000</v>
      </c>
      <c r="I971" s="33"/>
    </row>
    <row r="972" spans="1:9" ht="23.25" x14ac:dyDescent="0.25">
      <c r="A972" s="476">
        <v>28</v>
      </c>
      <c r="B972" s="243">
        <v>22100670</v>
      </c>
      <c r="C972" s="244" t="s">
        <v>1043</v>
      </c>
      <c r="D972" s="241">
        <v>1500000</v>
      </c>
      <c r="E972" s="254"/>
      <c r="F972" s="254"/>
      <c r="G972" s="254"/>
      <c r="H972" s="50">
        <f t="shared" si="32"/>
        <v>1500000</v>
      </c>
      <c r="I972" s="33"/>
    </row>
    <row r="973" spans="1:9" x14ac:dyDescent="0.25">
      <c r="A973" s="476">
        <v>29</v>
      </c>
      <c r="B973" s="243">
        <v>22100671</v>
      </c>
      <c r="C973" s="244" t="s">
        <v>1044</v>
      </c>
      <c r="D973" s="241">
        <v>1300000</v>
      </c>
      <c r="E973" s="254"/>
      <c r="F973" s="254"/>
      <c r="G973" s="254"/>
      <c r="H973" s="50">
        <f t="shared" si="32"/>
        <v>1300000</v>
      </c>
      <c r="I973" s="33"/>
    </row>
    <row r="974" spans="1:9" x14ac:dyDescent="0.25">
      <c r="A974" s="476">
        <v>30</v>
      </c>
      <c r="B974" s="243">
        <v>22100673</v>
      </c>
      <c r="C974" s="244" t="s">
        <v>1045</v>
      </c>
      <c r="D974" s="241">
        <v>500000</v>
      </c>
      <c r="E974" s="254"/>
      <c r="F974" s="254"/>
      <c r="G974" s="254"/>
      <c r="H974" s="50">
        <f t="shared" si="32"/>
        <v>500000</v>
      </c>
      <c r="I974" s="33"/>
    </row>
    <row r="975" spans="1:9" x14ac:dyDescent="0.25">
      <c r="A975" s="477"/>
      <c r="B975" s="31"/>
      <c r="C975" s="49" t="s">
        <v>38</v>
      </c>
      <c r="D975" s="254">
        <f>SUM(D943:D974)</f>
        <v>130000000</v>
      </c>
      <c r="E975" s="254">
        <f t="shared" ref="E975:H975" si="33">SUM(E943:E974)</f>
        <v>0</v>
      </c>
      <c r="F975" s="254">
        <f t="shared" si="33"/>
        <v>15000000</v>
      </c>
      <c r="G975" s="254">
        <f t="shared" si="33"/>
        <v>0</v>
      </c>
      <c r="H975" s="254">
        <f t="shared" si="33"/>
        <v>115000000</v>
      </c>
      <c r="I975" s="254"/>
    </row>
    <row r="976" spans="1:9" x14ac:dyDescent="0.25">
      <c r="A976" s="6"/>
      <c r="B976" s="405"/>
      <c r="C976" s="474"/>
      <c r="D976" s="475"/>
      <c r="E976" s="475"/>
      <c r="F976" s="475"/>
      <c r="G976" s="475"/>
      <c r="H976" s="475"/>
      <c r="I976" s="6"/>
    </row>
    <row r="977" spans="1:9" x14ac:dyDescent="0.25">
      <c r="A977" s="6"/>
      <c r="B977" s="405"/>
      <c r="C977" s="474"/>
      <c r="D977" s="475"/>
      <c r="E977" s="475"/>
      <c r="F977" s="475"/>
      <c r="G977" s="475"/>
      <c r="H977" s="475"/>
      <c r="I977" s="6"/>
    </row>
    <row r="978" spans="1:9" x14ac:dyDescent="0.25">
      <c r="A978" s="6"/>
      <c r="B978" s="405"/>
      <c r="C978" s="474"/>
      <c r="D978" s="475"/>
      <c r="E978" s="475"/>
      <c r="F978" s="475"/>
      <c r="G978" s="475"/>
      <c r="H978" s="475"/>
      <c r="I978" s="6"/>
    </row>
    <row r="979" spans="1:9" x14ac:dyDescent="0.25">
      <c r="A979" s="6"/>
      <c r="B979" s="405"/>
      <c r="C979" s="474"/>
      <c r="D979" s="475"/>
      <c r="E979" s="475"/>
      <c r="F979" s="475"/>
      <c r="G979" s="475"/>
      <c r="H979" s="475"/>
      <c r="I979" s="6"/>
    </row>
    <row r="980" spans="1:9" x14ac:dyDescent="0.25">
      <c r="A980" s="6"/>
      <c r="B980" s="405"/>
      <c r="C980" s="474"/>
      <c r="D980" s="475"/>
      <c r="E980" s="475"/>
      <c r="F980" s="475"/>
      <c r="G980" s="475"/>
      <c r="H980" s="475"/>
      <c r="I980" s="6"/>
    </row>
    <row r="981" spans="1:9" x14ac:dyDescent="0.25">
      <c r="A981" s="6"/>
      <c r="B981" s="405"/>
      <c r="C981" s="474"/>
      <c r="D981" s="475"/>
      <c r="E981" s="475"/>
      <c r="F981" s="475"/>
      <c r="G981" s="475"/>
      <c r="H981" s="475"/>
      <c r="I981" s="6"/>
    </row>
    <row r="982" spans="1:9" x14ac:dyDescent="0.25">
      <c r="A982" s="6"/>
      <c r="B982" s="405"/>
      <c r="C982" s="474"/>
      <c r="D982" s="475"/>
      <c r="E982" s="475"/>
      <c r="F982" s="475"/>
      <c r="G982" s="475"/>
      <c r="H982" s="475"/>
      <c r="I982" s="6"/>
    </row>
    <row r="983" spans="1:9" x14ac:dyDescent="0.25">
      <c r="A983" s="6"/>
      <c r="B983" s="405"/>
      <c r="C983" s="474"/>
      <c r="D983" s="475"/>
      <c r="E983" s="475"/>
      <c r="F983" s="475"/>
      <c r="G983" s="475"/>
      <c r="H983" s="475"/>
      <c r="I983" s="6"/>
    </row>
    <row r="984" spans="1:9" x14ac:dyDescent="0.25">
      <c r="A984" s="6"/>
      <c r="B984" s="405"/>
      <c r="C984" s="474"/>
      <c r="D984" s="475"/>
      <c r="E984" s="475"/>
      <c r="F984" s="475"/>
      <c r="G984" s="475"/>
      <c r="H984" s="475"/>
      <c r="I984" s="6"/>
    </row>
    <row r="985" spans="1:9" x14ac:dyDescent="0.25">
      <c r="A985" s="6"/>
      <c r="B985" s="405"/>
      <c r="C985" s="474"/>
      <c r="D985" s="475"/>
      <c r="E985" s="475"/>
      <c r="F985" s="475"/>
      <c r="G985" s="475"/>
      <c r="H985" s="475"/>
      <c r="I985" s="6"/>
    </row>
    <row r="986" spans="1:9" x14ac:dyDescent="0.25">
      <c r="A986" s="6"/>
      <c r="B986" s="405"/>
      <c r="C986" s="474"/>
      <c r="D986" s="475"/>
      <c r="E986" s="475"/>
      <c r="F986" s="475"/>
      <c r="G986" s="475"/>
      <c r="H986" s="475"/>
      <c r="I986" s="6"/>
    </row>
    <row r="987" spans="1:9" x14ac:dyDescent="0.25">
      <c r="A987" s="6"/>
      <c r="B987" s="405"/>
      <c r="C987" s="474"/>
      <c r="D987" s="475"/>
      <c r="E987" s="475"/>
      <c r="F987" s="475"/>
      <c r="G987" s="475"/>
      <c r="H987" s="475"/>
      <c r="I987" s="6"/>
    </row>
    <row r="988" spans="1:9" x14ac:dyDescent="0.25">
      <c r="A988" s="6"/>
      <c r="B988" s="405"/>
      <c r="C988" s="474"/>
      <c r="D988" s="475"/>
      <c r="E988" s="475"/>
      <c r="F988" s="475"/>
      <c r="G988" s="475"/>
      <c r="H988" s="475"/>
      <c r="I988" s="6"/>
    </row>
    <row r="989" spans="1:9" x14ac:dyDescent="0.25">
      <c r="A989" s="6"/>
      <c r="B989" s="405"/>
      <c r="C989" s="474"/>
      <c r="D989" s="475"/>
      <c r="E989" s="475"/>
      <c r="F989" s="475"/>
      <c r="G989" s="475"/>
      <c r="H989" s="475"/>
      <c r="I989" s="6"/>
    </row>
    <row r="990" spans="1:9" x14ac:dyDescent="0.25">
      <c r="A990" s="628" t="s">
        <v>276</v>
      </c>
      <c r="B990" s="628"/>
      <c r="C990" s="628"/>
      <c r="D990" s="628"/>
      <c r="E990" s="628"/>
      <c r="F990" s="628"/>
      <c r="G990" s="628"/>
      <c r="H990" s="628"/>
      <c r="I990" s="628"/>
    </row>
    <row r="991" spans="1:9" x14ac:dyDescent="0.25">
      <c r="A991" s="628" t="s">
        <v>1176</v>
      </c>
      <c r="B991" s="628"/>
      <c r="C991" s="628"/>
      <c r="D991" s="628"/>
      <c r="E991" s="628"/>
      <c r="F991" s="628"/>
      <c r="G991" s="628"/>
      <c r="H991" s="628"/>
      <c r="I991" s="628"/>
    </row>
    <row r="992" spans="1:9" x14ac:dyDescent="0.25">
      <c r="A992" s="628" t="s">
        <v>34</v>
      </c>
      <c r="B992" s="628"/>
      <c r="C992" s="628"/>
      <c r="D992" s="628"/>
      <c r="E992" s="628"/>
      <c r="F992" s="628"/>
      <c r="G992" s="628"/>
      <c r="H992" s="628"/>
      <c r="I992" s="628"/>
    </row>
    <row r="993" spans="1:9" x14ac:dyDescent="0.25">
      <c r="A993" s="265"/>
      <c r="B993" s="265"/>
      <c r="C993" s="265"/>
      <c r="D993" s="265"/>
      <c r="E993" s="265"/>
      <c r="F993" s="265"/>
      <c r="G993" s="265"/>
      <c r="H993" s="265"/>
    </row>
    <row r="994" spans="1:9" x14ac:dyDescent="0.25">
      <c r="A994" s="62" t="s">
        <v>377</v>
      </c>
      <c r="B994" s="62"/>
      <c r="C994" s="62"/>
      <c r="D994" s="62"/>
      <c r="E994" s="62"/>
      <c r="F994" s="62"/>
      <c r="G994" s="62"/>
      <c r="H994" s="63"/>
    </row>
    <row r="995" spans="1:9" x14ac:dyDescent="0.25">
      <c r="A995" s="63"/>
      <c r="B995" s="265"/>
      <c r="C995" s="63"/>
      <c r="D995" s="63"/>
      <c r="E995" s="63"/>
      <c r="F995" s="63"/>
      <c r="G995" s="63"/>
      <c r="H995" s="63"/>
    </row>
    <row r="996" spans="1:9" x14ac:dyDescent="0.25">
      <c r="A996" s="64" t="s">
        <v>378</v>
      </c>
      <c r="B996" s="64"/>
      <c r="C996" s="64"/>
      <c r="D996" s="63"/>
      <c r="E996" s="63"/>
      <c r="F996" s="63"/>
      <c r="G996" s="63"/>
      <c r="H996" s="63"/>
    </row>
    <row r="997" spans="1:9" ht="36.75" x14ac:dyDescent="0.25">
      <c r="A997" s="46" t="s">
        <v>0</v>
      </c>
      <c r="B997" s="65" t="s">
        <v>35</v>
      </c>
      <c r="C997" s="65" t="s">
        <v>36</v>
      </c>
      <c r="D997" s="65" t="s">
        <v>279</v>
      </c>
      <c r="E997" s="65" t="s">
        <v>222</v>
      </c>
      <c r="F997" s="65" t="s">
        <v>273</v>
      </c>
      <c r="G997" s="66" t="s">
        <v>37</v>
      </c>
      <c r="H997" s="66" t="s">
        <v>1175</v>
      </c>
      <c r="I997" s="66" t="s">
        <v>209</v>
      </c>
    </row>
    <row r="998" spans="1:9" ht="23.25" x14ac:dyDescent="0.25">
      <c r="A998" s="56">
        <v>1</v>
      </c>
      <c r="B998" s="243">
        <v>22100589</v>
      </c>
      <c r="C998" s="244" t="s">
        <v>379</v>
      </c>
      <c r="D998" s="241">
        <v>130000000</v>
      </c>
      <c r="E998" s="155">
        <v>974000</v>
      </c>
      <c r="F998" s="155">
        <v>0</v>
      </c>
      <c r="G998" s="155">
        <v>1000000</v>
      </c>
      <c r="H998" s="50">
        <f>D998+G998</f>
        <v>131000000</v>
      </c>
      <c r="I998" s="423" t="s">
        <v>208</v>
      </c>
    </row>
    <row r="999" spans="1:9" x14ac:dyDescent="0.25">
      <c r="A999" s="56">
        <v>2</v>
      </c>
      <c r="B999" s="243">
        <v>22100590</v>
      </c>
      <c r="C999" s="244" t="s">
        <v>380</v>
      </c>
      <c r="D999" s="241">
        <v>16000000</v>
      </c>
      <c r="E999" s="155">
        <v>0</v>
      </c>
      <c r="F999" s="155">
        <v>0</v>
      </c>
      <c r="G999" s="155">
        <v>0</v>
      </c>
      <c r="H999" s="50">
        <f>D999+G999</f>
        <v>16000000</v>
      </c>
      <c r="I999" s="33"/>
    </row>
    <row r="1000" spans="1:9" x14ac:dyDescent="0.25">
      <c r="A1000" s="56">
        <v>3</v>
      </c>
      <c r="B1000" s="243">
        <v>22100591</v>
      </c>
      <c r="C1000" s="244" t="s">
        <v>381</v>
      </c>
      <c r="D1000" s="241">
        <v>20000000</v>
      </c>
      <c r="E1000" s="155">
        <v>0</v>
      </c>
      <c r="F1000" s="155">
        <v>0</v>
      </c>
      <c r="G1000" s="155">
        <v>0</v>
      </c>
      <c r="H1000" s="50">
        <f>D1000+G1000</f>
        <v>20000000</v>
      </c>
      <c r="I1000" s="33"/>
    </row>
    <row r="1001" spans="1:9" x14ac:dyDescent="0.25">
      <c r="A1001" s="33"/>
      <c r="B1001" s="31"/>
      <c r="C1001" s="67" t="s">
        <v>38</v>
      </c>
      <c r="D1001" s="73">
        <f>SUM(D998:D1000)</f>
        <v>166000000</v>
      </c>
      <c r="E1001" s="73">
        <f>SUM(E998:E1000)</f>
        <v>974000</v>
      </c>
      <c r="F1001" s="155">
        <v>0</v>
      </c>
      <c r="G1001" s="73">
        <f>SUM(G998:G1000)</f>
        <v>1000000</v>
      </c>
      <c r="H1001" s="73">
        <f>SUM(H998:H1000)</f>
        <v>167000000</v>
      </c>
      <c r="I1001" s="33"/>
    </row>
    <row r="1021" spans="1:9" x14ac:dyDescent="0.25">
      <c r="A1021" s="6"/>
      <c r="B1021" s="405"/>
      <c r="C1021" s="474"/>
      <c r="D1021" s="475"/>
      <c r="E1021" s="475"/>
      <c r="F1021" s="475"/>
      <c r="G1021" s="475"/>
      <c r="H1021" s="475"/>
      <c r="I1021" s="6"/>
    </row>
    <row r="1022" spans="1:9" x14ac:dyDescent="0.25">
      <c r="A1022" s="628" t="s">
        <v>276</v>
      </c>
      <c r="B1022" s="628"/>
      <c r="C1022" s="628"/>
      <c r="D1022" s="628"/>
      <c r="E1022" s="628"/>
      <c r="F1022" s="628"/>
      <c r="G1022" s="628"/>
      <c r="H1022" s="628"/>
      <c r="I1022" s="628"/>
    </row>
    <row r="1023" spans="1:9" x14ac:dyDescent="0.25">
      <c r="A1023" s="628" t="s">
        <v>1176</v>
      </c>
      <c r="B1023" s="628"/>
      <c r="C1023" s="628"/>
      <c r="D1023" s="628"/>
      <c r="E1023" s="628"/>
      <c r="F1023" s="628"/>
      <c r="G1023" s="628"/>
      <c r="H1023" s="628"/>
      <c r="I1023" s="628"/>
    </row>
    <row r="1024" spans="1:9" x14ac:dyDescent="0.25">
      <c r="A1024" s="628" t="s">
        <v>34</v>
      </c>
      <c r="B1024" s="628"/>
      <c r="C1024" s="628"/>
      <c r="D1024" s="628"/>
      <c r="E1024" s="628"/>
      <c r="F1024" s="628"/>
      <c r="G1024" s="628"/>
      <c r="H1024" s="628"/>
      <c r="I1024" s="628"/>
    </row>
    <row r="1025" spans="1:9" x14ac:dyDescent="0.25">
      <c r="A1025" s="393"/>
      <c r="B1025" s="393"/>
      <c r="C1025" s="393"/>
      <c r="D1025" s="393"/>
      <c r="E1025" s="393"/>
      <c r="F1025" s="393"/>
      <c r="G1025" s="393"/>
      <c r="H1025" s="393"/>
    </row>
    <row r="1026" spans="1:9" x14ac:dyDescent="0.25">
      <c r="A1026" s="72" t="s">
        <v>1047</v>
      </c>
      <c r="B1026" s="62"/>
      <c r="C1026" s="62"/>
      <c r="D1026" s="62"/>
      <c r="E1026" s="62"/>
      <c r="F1026" s="62"/>
      <c r="G1026" s="62"/>
      <c r="H1026" s="63"/>
    </row>
    <row r="1027" spans="1:9" x14ac:dyDescent="0.25">
      <c r="A1027" s="63"/>
      <c r="B1027" s="393"/>
      <c r="C1027" s="63"/>
      <c r="D1027" s="63"/>
      <c r="E1027" s="63"/>
      <c r="F1027" s="63"/>
      <c r="G1027" s="63"/>
      <c r="H1027" s="63"/>
    </row>
    <row r="1028" spans="1:9" x14ac:dyDescent="0.25">
      <c r="A1028" s="64" t="s">
        <v>1046</v>
      </c>
      <c r="B1028" s="64"/>
      <c r="C1028" s="64"/>
      <c r="D1028" s="63"/>
      <c r="E1028" s="63"/>
      <c r="F1028" s="63"/>
      <c r="G1028" s="63"/>
      <c r="H1028" s="63"/>
    </row>
    <row r="1029" spans="1:9" ht="36.75" x14ac:dyDescent="0.25">
      <c r="A1029" s="201" t="s">
        <v>0</v>
      </c>
      <c r="B1029" s="65" t="s">
        <v>35</v>
      </c>
      <c r="C1029" s="65" t="s">
        <v>36</v>
      </c>
      <c r="D1029" s="65" t="s">
        <v>279</v>
      </c>
      <c r="E1029" s="65" t="s">
        <v>222</v>
      </c>
      <c r="F1029" s="65" t="s">
        <v>273</v>
      </c>
      <c r="G1029" s="65" t="s">
        <v>37</v>
      </c>
      <c r="H1029" s="65" t="s">
        <v>1175</v>
      </c>
      <c r="I1029" s="65" t="s">
        <v>209</v>
      </c>
    </row>
    <row r="1030" spans="1:9" ht="23.25" x14ac:dyDescent="0.25">
      <c r="A1030" s="36">
        <v>1</v>
      </c>
      <c r="B1030" s="243">
        <v>22100595</v>
      </c>
      <c r="C1030" s="244" t="s">
        <v>467</v>
      </c>
      <c r="D1030" s="482">
        <v>80400000</v>
      </c>
      <c r="E1030" s="155">
        <v>0</v>
      </c>
      <c r="F1030" s="155">
        <v>50000000</v>
      </c>
      <c r="G1030" s="155">
        <v>0</v>
      </c>
      <c r="H1030" s="50">
        <f>D1030+G1030-F1030</f>
        <v>30400000</v>
      </c>
      <c r="I1030" s="56" t="s">
        <v>235</v>
      </c>
    </row>
    <row r="1031" spans="1:9" x14ac:dyDescent="0.25">
      <c r="A1031" s="33"/>
      <c r="B1031" s="31"/>
      <c r="C1031" s="49" t="s">
        <v>38</v>
      </c>
      <c r="D1031" s="254">
        <f>SUM(D1030:D1030)</f>
        <v>80400000</v>
      </c>
      <c r="E1031" s="254">
        <f>SUM(E1030:E1030)</f>
        <v>0</v>
      </c>
      <c r="F1031" s="254">
        <f>SUM(F1030:F1030)</f>
        <v>50000000</v>
      </c>
      <c r="G1031" s="254">
        <f>SUM(G1030:G1030)</f>
        <v>0</v>
      </c>
      <c r="H1031" s="254">
        <f>SUM(H1030:H1030)</f>
        <v>30400000</v>
      </c>
      <c r="I1031" s="33"/>
    </row>
    <row r="1032" spans="1:9" x14ac:dyDescent="0.25">
      <c r="A1032" s="6"/>
      <c r="B1032" s="405"/>
      <c r="C1032" s="474"/>
      <c r="D1032" s="475"/>
      <c r="E1032" s="475"/>
      <c r="F1032" s="475"/>
      <c r="G1032" s="475"/>
      <c r="H1032" s="475"/>
      <c r="I1032" s="6"/>
    </row>
    <row r="1033" spans="1:9" x14ac:dyDescent="0.25">
      <c r="A1033" s="6"/>
      <c r="B1033" s="405"/>
      <c r="C1033" s="474"/>
      <c r="D1033" s="475"/>
      <c r="E1033" s="475"/>
      <c r="F1033" s="475"/>
      <c r="G1033" s="475"/>
      <c r="H1033" s="475"/>
      <c r="I1033" s="6"/>
    </row>
    <row r="1034" spans="1:9" x14ac:dyDescent="0.25">
      <c r="A1034" s="6"/>
      <c r="B1034" s="405"/>
      <c r="C1034" s="474"/>
      <c r="D1034" s="475"/>
      <c r="E1034" s="475"/>
      <c r="F1034" s="475"/>
      <c r="G1034" s="475"/>
      <c r="H1034" s="475"/>
      <c r="I1034" s="6"/>
    </row>
    <row r="1035" spans="1:9" x14ac:dyDescent="0.25">
      <c r="A1035" s="6"/>
      <c r="B1035" s="405"/>
      <c r="C1035" s="474"/>
      <c r="D1035" s="475"/>
      <c r="E1035" s="475"/>
      <c r="F1035" s="475"/>
      <c r="G1035" s="475"/>
      <c r="H1035" s="475"/>
      <c r="I1035" s="6"/>
    </row>
    <row r="1036" spans="1:9" x14ac:dyDescent="0.25">
      <c r="A1036" s="6"/>
      <c r="B1036" s="405"/>
      <c r="C1036" s="474"/>
      <c r="D1036" s="475"/>
      <c r="E1036" s="475"/>
      <c r="F1036" s="475"/>
      <c r="G1036" s="475"/>
      <c r="H1036" s="475"/>
      <c r="I1036" s="6"/>
    </row>
    <row r="1037" spans="1:9" x14ac:dyDescent="0.25">
      <c r="A1037" s="6"/>
      <c r="B1037" s="405"/>
      <c r="C1037" s="474"/>
      <c r="D1037" s="475"/>
      <c r="E1037" s="475"/>
      <c r="F1037" s="475"/>
      <c r="G1037" s="475"/>
      <c r="H1037" s="475"/>
      <c r="I1037" s="6"/>
    </row>
    <row r="1038" spans="1:9" x14ac:dyDescent="0.25">
      <c r="A1038" s="6"/>
      <c r="B1038" s="405"/>
      <c r="C1038" s="474"/>
      <c r="D1038" s="475"/>
      <c r="E1038" s="475"/>
      <c r="F1038" s="475"/>
      <c r="G1038" s="475"/>
      <c r="H1038" s="475"/>
      <c r="I1038" s="6"/>
    </row>
    <row r="1039" spans="1:9" x14ac:dyDescent="0.25">
      <c r="A1039" s="6"/>
      <c r="B1039" s="405"/>
      <c r="C1039" s="474"/>
      <c r="D1039" s="475"/>
      <c r="E1039" s="475"/>
      <c r="F1039" s="475"/>
      <c r="G1039" s="475"/>
      <c r="H1039" s="475"/>
      <c r="I1039" s="6"/>
    </row>
    <row r="1040" spans="1:9" x14ac:dyDescent="0.25">
      <c r="A1040" s="6"/>
      <c r="B1040" s="405"/>
      <c r="C1040" s="474"/>
      <c r="D1040" s="475"/>
      <c r="E1040" s="475"/>
      <c r="F1040" s="475"/>
      <c r="G1040" s="475"/>
      <c r="H1040" s="475"/>
      <c r="I1040" s="6"/>
    </row>
    <row r="1041" spans="1:9" x14ac:dyDescent="0.25">
      <c r="A1041" s="6"/>
      <c r="B1041" s="405"/>
      <c r="C1041" s="474"/>
      <c r="D1041" s="475"/>
      <c r="E1041" s="475"/>
      <c r="F1041" s="475"/>
      <c r="G1041" s="475"/>
      <c r="H1041" s="475"/>
      <c r="I1041" s="6"/>
    </row>
    <row r="1042" spans="1:9" x14ac:dyDescent="0.25">
      <c r="A1042" s="6"/>
      <c r="B1042" s="405"/>
      <c r="C1042" s="474"/>
      <c r="D1042" s="475"/>
      <c r="E1042" s="475"/>
      <c r="F1042" s="475"/>
      <c r="G1042" s="475"/>
      <c r="H1042" s="475"/>
      <c r="I1042" s="6"/>
    </row>
    <row r="1043" spans="1:9" x14ac:dyDescent="0.25">
      <c r="A1043" s="6"/>
      <c r="B1043" s="405"/>
      <c r="C1043" s="474"/>
      <c r="D1043" s="475"/>
      <c r="E1043" s="475"/>
      <c r="F1043" s="475"/>
      <c r="G1043" s="475"/>
      <c r="H1043" s="475"/>
      <c r="I1043" s="6"/>
    </row>
    <row r="1044" spans="1:9" x14ac:dyDescent="0.25">
      <c r="A1044" s="6"/>
      <c r="B1044" s="405"/>
      <c r="C1044" s="474"/>
      <c r="D1044" s="475"/>
      <c r="E1044" s="475"/>
      <c r="F1044" s="475"/>
      <c r="G1044" s="475"/>
      <c r="H1044" s="475"/>
      <c r="I1044" s="6"/>
    </row>
    <row r="1045" spans="1:9" x14ac:dyDescent="0.25">
      <c r="A1045" s="6"/>
      <c r="B1045" s="405"/>
      <c r="C1045" s="474"/>
      <c r="D1045" s="475"/>
      <c r="E1045" s="475"/>
      <c r="F1045" s="475"/>
      <c r="G1045" s="475"/>
      <c r="H1045" s="475"/>
      <c r="I1045" s="6"/>
    </row>
    <row r="1046" spans="1:9" x14ac:dyDescent="0.25">
      <c r="A1046" s="6"/>
      <c r="B1046" s="405"/>
      <c r="C1046" s="474"/>
      <c r="D1046" s="475"/>
      <c r="E1046" s="475"/>
      <c r="F1046" s="475"/>
      <c r="G1046" s="475"/>
      <c r="H1046" s="475"/>
      <c r="I1046" s="6"/>
    </row>
    <row r="1047" spans="1:9" x14ac:dyDescent="0.25">
      <c r="A1047" s="6"/>
      <c r="B1047" s="405"/>
      <c r="C1047" s="474"/>
      <c r="D1047" s="475"/>
      <c r="E1047" s="475"/>
      <c r="F1047" s="475"/>
      <c r="G1047" s="475"/>
      <c r="H1047" s="475"/>
      <c r="I1047" s="6"/>
    </row>
    <row r="1048" spans="1:9" x14ac:dyDescent="0.25">
      <c r="A1048" s="6"/>
      <c r="B1048" s="405"/>
      <c r="C1048" s="474"/>
      <c r="D1048" s="475"/>
      <c r="E1048" s="475"/>
      <c r="F1048" s="475"/>
      <c r="G1048" s="475"/>
      <c r="H1048" s="475"/>
      <c r="I1048" s="6"/>
    </row>
    <row r="1049" spans="1:9" x14ac:dyDescent="0.25">
      <c r="A1049" s="6"/>
      <c r="B1049" s="405"/>
      <c r="C1049" s="474"/>
      <c r="D1049" s="475"/>
      <c r="E1049" s="475"/>
      <c r="F1049" s="475"/>
      <c r="G1049" s="475"/>
      <c r="H1049" s="475"/>
      <c r="I1049" s="6"/>
    </row>
    <row r="1050" spans="1:9" x14ac:dyDescent="0.25">
      <c r="A1050" s="6"/>
      <c r="B1050" s="405"/>
      <c r="C1050" s="474"/>
      <c r="D1050" s="475"/>
      <c r="E1050" s="475"/>
      <c r="F1050" s="475"/>
      <c r="G1050" s="475"/>
      <c r="H1050" s="475"/>
      <c r="I1050" s="6"/>
    </row>
    <row r="1051" spans="1:9" x14ac:dyDescent="0.25">
      <c r="A1051" s="6"/>
      <c r="B1051" s="405"/>
      <c r="C1051" s="474"/>
      <c r="D1051" s="475"/>
      <c r="E1051" s="475"/>
      <c r="F1051" s="475"/>
      <c r="G1051" s="475"/>
      <c r="H1051" s="475"/>
      <c r="I1051" s="6"/>
    </row>
    <row r="1052" spans="1:9" x14ac:dyDescent="0.25">
      <c r="A1052" s="6"/>
      <c r="B1052" s="405"/>
      <c r="C1052" s="474"/>
      <c r="D1052" s="475"/>
      <c r="E1052" s="475"/>
      <c r="F1052" s="475"/>
      <c r="G1052" s="475"/>
      <c r="H1052" s="475"/>
      <c r="I1052" s="6"/>
    </row>
    <row r="1053" spans="1:9" x14ac:dyDescent="0.25">
      <c r="A1053" s="6"/>
      <c r="B1053" s="405"/>
      <c r="C1053" s="474"/>
      <c r="D1053" s="475"/>
      <c r="E1053" s="475"/>
      <c r="F1053" s="475"/>
      <c r="G1053" s="475"/>
      <c r="H1053" s="475"/>
      <c r="I1053" s="6"/>
    </row>
    <row r="1054" spans="1:9" x14ac:dyDescent="0.25">
      <c r="A1054" s="628" t="s">
        <v>276</v>
      </c>
      <c r="B1054" s="628"/>
      <c r="C1054" s="628"/>
      <c r="D1054" s="628"/>
      <c r="E1054" s="628"/>
      <c r="F1054" s="628"/>
      <c r="G1054" s="628"/>
      <c r="H1054" s="628"/>
      <c r="I1054" s="628"/>
    </row>
    <row r="1055" spans="1:9" x14ac:dyDescent="0.25">
      <c r="A1055" s="628" t="s">
        <v>1176</v>
      </c>
      <c r="B1055" s="628"/>
      <c r="C1055" s="628"/>
      <c r="D1055" s="628"/>
      <c r="E1055" s="628"/>
      <c r="F1055" s="628"/>
      <c r="G1055" s="628"/>
      <c r="H1055" s="628"/>
      <c r="I1055" s="628"/>
    </row>
    <row r="1056" spans="1:9" x14ac:dyDescent="0.25">
      <c r="A1056" s="628" t="s">
        <v>34</v>
      </c>
      <c r="B1056" s="628"/>
      <c r="C1056" s="628"/>
      <c r="D1056" s="628"/>
      <c r="E1056" s="628"/>
      <c r="F1056" s="628"/>
      <c r="G1056" s="628"/>
      <c r="H1056" s="628"/>
      <c r="I1056" s="628"/>
    </row>
    <row r="1057" spans="1:9" x14ac:dyDescent="0.25">
      <c r="A1057" s="393"/>
      <c r="B1057" s="393"/>
      <c r="C1057" s="393"/>
      <c r="D1057" s="393"/>
      <c r="E1057" s="393"/>
      <c r="F1057" s="393"/>
      <c r="G1057" s="393"/>
      <c r="H1057" s="393"/>
    </row>
    <row r="1058" spans="1:9" x14ac:dyDescent="0.25">
      <c r="A1058" s="72" t="s">
        <v>1018</v>
      </c>
      <c r="B1058" s="62"/>
      <c r="C1058" s="62"/>
      <c r="D1058" s="62"/>
      <c r="E1058" s="62"/>
      <c r="F1058" s="62"/>
      <c r="G1058" s="62"/>
      <c r="H1058" s="63"/>
    </row>
    <row r="1059" spans="1:9" x14ac:dyDescent="0.25">
      <c r="A1059" s="63"/>
      <c r="B1059" s="393"/>
      <c r="C1059" s="63"/>
      <c r="D1059" s="63"/>
      <c r="E1059" s="63"/>
      <c r="F1059" s="63"/>
      <c r="G1059" s="63"/>
      <c r="H1059" s="63"/>
    </row>
    <row r="1060" spans="1:9" x14ac:dyDescent="0.25">
      <c r="A1060" s="64" t="s">
        <v>1019</v>
      </c>
      <c r="B1060" s="64"/>
      <c r="C1060" s="64"/>
      <c r="D1060" s="63"/>
      <c r="E1060" s="63"/>
      <c r="F1060" s="63"/>
      <c r="G1060" s="63"/>
      <c r="H1060" s="63"/>
    </row>
    <row r="1061" spans="1:9" ht="36.75" x14ac:dyDescent="0.25">
      <c r="A1061" s="46" t="s">
        <v>0</v>
      </c>
      <c r="B1061" s="65" t="s">
        <v>35</v>
      </c>
      <c r="C1061" s="65" t="s">
        <v>36</v>
      </c>
      <c r="D1061" s="65" t="s">
        <v>279</v>
      </c>
      <c r="E1061" s="65" t="s">
        <v>222</v>
      </c>
      <c r="F1061" s="65" t="s">
        <v>273</v>
      </c>
      <c r="G1061" s="66" t="s">
        <v>37</v>
      </c>
      <c r="H1061" s="66" t="s">
        <v>1175</v>
      </c>
      <c r="I1061" s="66" t="s">
        <v>209</v>
      </c>
    </row>
    <row r="1062" spans="1:9" x14ac:dyDescent="0.25">
      <c r="A1062" s="36">
        <v>1</v>
      </c>
      <c r="B1062" s="243">
        <v>22100262</v>
      </c>
      <c r="C1062" s="244" t="s">
        <v>416</v>
      </c>
      <c r="D1062" s="241">
        <v>4500000</v>
      </c>
      <c r="E1062" s="249">
        <v>0</v>
      </c>
      <c r="F1062" s="249">
        <v>0</v>
      </c>
      <c r="G1062" s="249">
        <v>0</v>
      </c>
      <c r="H1062" s="50">
        <f>D1062+G1062-F1062</f>
        <v>4500000</v>
      </c>
      <c r="I1062" s="56"/>
    </row>
    <row r="1063" spans="1:9" x14ac:dyDescent="0.25">
      <c r="A1063" s="36">
        <v>2</v>
      </c>
      <c r="B1063" s="243">
        <v>22100263</v>
      </c>
      <c r="C1063" s="244" t="s">
        <v>348</v>
      </c>
      <c r="D1063" s="241">
        <v>3500000</v>
      </c>
      <c r="E1063" s="249">
        <v>0</v>
      </c>
      <c r="F1063" s="249">
        <v>0</v>
      </c>
      <c r="G1063" s="249">
        <v>0</v>
      </c>
      <c r="H1063" s="50">
        <f>D1063+G1063-F1063</f>
        <v>3500000</v>
      </c>
      <c r="I1063" s="56"/>
    </row>
    <row r="1064" spans="1:9" x14ac:dyDescent="0.25">
      <c r="A1064" s="36">
        <v>3</v>
      </c>
      <c r="B1064" s="243">
        <v>22100367</v>
      </c>
      <c r="C1064" s="244" t="s">
        <v>461</v>
      </c>
      <c r="D1064" s="241">
        <v>30000000</v>
      </c>
      <c r="E1064" s="249">
        <v>0</v>
      </c>
      <c r="F1064" s="249">
        <v>15000000</v>
      </c>
      <c r="G1064" s="249">
        <v>0</v>
      </c>
      <c r="H1064" s="50">
        <f>D1064+G1064-F1064</f>
        <v>15000000</v>
      </c>
      <c r="I1064" s="56" t="s">
        <v>235</v>
      </c>
    </row>
    <row r="1065" spans="1:9" ht="45.75" x14ac:dyDescent="0.25">
      <c r="A1065" s="36">
        <v>4</v>
      </c>
      <c r="B1065" s="243">
        <v>22100596</v>
      </c>
      <c r="C1065" s="244" t="s">
        <v>1020</v>
      </c>
      <c r="D1065" s="241">
        <v>12000000</v>
      </c>
      <c r="E1065" s="249">
        <v>0</v>
      </c>
      <c r="F1065" s="249">
        <v>0</v>
      </c>
      <c r="G1065" s="249">
        <v>0</v>
      </c>
      <c r="H1065" s="50">
        <f>D1065+G1065-F1065</f>
        <v>12000000</v>
      </c>
      <c r="I1065" s="56"/>
    </row>
    <row r="1066" spans="1:9" x14ac:dyDescent="0.25">
      <c r="A1066" s="36">
        <v>5</v>
      </c>
      <c r="B1066" s="243">
        <v>22100597</v>
      </c>
      <c r="C1066" s="244" t="s">
        <v>462</v>
      </c>
      <c r="D1066" s="241">
        <v>50000000</v>
      </c>
      <c r="E1066" s="249">
        <v>0</v>
      </c>
      <c r="F1066" s="249">
        <v>30000000</v>
      </c>
      <c r="G1066" s="249">
        <v>0</v>
      </c>
      <c r="H1066" s="50">
        <f>D1066+G1066-F1066</f>
        <v>20000000</v>
      </c>
      <c r="I1066" s="56" t="s">
        <v>235</v>
      </c>
    </row>
    <row r="1067" spans="1:9" x14ac:dyDescent="0.25">
      <c r="A1067" s="33"/>
      <c r="B1067" s="31"/>
      <c r="C1067" s="49" t="s">
        <v>38</v>
      </c>
      <c r="D1067" s="254">
        <f>SUM(D1062:D1066)</f>
        <v>100000000</v>
      </c>
      <c r="E1067" s="254">
        <f>SUM(E1062:E1066)</f>
        <v>0</v>
      </c>
      <c r="F1067" s="254">
        <f>SUM(F1062:F1066)</f>
        <v>45000000</v>
      </c>
      <c r="G1067" s="254">
        <f>SUM(G1062:G1066)</f>
        <v>0</v>
      </c>
      <c r="H1067" s="254">
        <f>SUM(H1062:H1066)</f>
        <v>55000000</v>
      </c>
      <c r="I1067" s="33"/>
    </row>
    <row r="1068" spans="1:9" x14ac:dyDescent="0.25">
      <c r="A1068" s="6"/>
      <c r="B1068" s="405"/>
      <c r="C1068" s="474"/>
      <c r="D1068" s="475"/>
      <c r="E1068" s="475"/>
      <c r="F1068" s="475"/>
      <c r="G1068" s="475"/>
      <c r="H1068" s="475"/>
      <c r="I1068" s="6"/>
    </row>
    <row r="1069" spans="1:9" x14ac:dyDescent="0.25">
      <c r="A1069" s="6"/>
      <c r="B1069" s="405"/>
      <c r="C1069" s="474"/>
      <c r="D1069" s="475"/>
      <c r="E1069" s="475"/>
      <c r="F1069" s="475"/>
      <c r="G1069" s="475"/>
      <c r="H1069" s="475"/>
      <c r="I1069" s="6"/>
    </row>
    <row r="1070" spans="1:9" x14ac:dyDescent="0.25">
      <c r="A1070" s="6"/>
      <c r="B1070" s="405"/>
      <c r="C1070" s="474"/>
      <c r="D1070" s="475"/>
      <c r="E1070" s="475"/>
      <c r="F1070" s="475"/>
      <c r="G1070" s="475"/>
      <c r="H1070" s="475"/>
      <c r="I1070" s="6"/>
    </row>
    <row r="1071" spans="1:9" x14ac:dyDescent="0.25">
      <c r="A1071" s="6"/>
      <c r="B1071" s="405"/>
      <c r="C1071" s="474"/>
      <c r="D1071" s="475"/>
      <c r="E1071" s="475"/>
      <c r="F1071" s="475"/>
      <c r="G1071" s="475"/>
      <c r="H1071" s="475"/>
      <c r="I1071" s="6"/>
    </row>
    <row r="1072" spans="1:9" x14ac:dyDescent="0.25">
      <c r="A1072" s="6"/>
      <c r="B1072" s="405"/>
      <c r="C1072" s="474"/>
      <c r="D1072" s="475"/>
      <c r="E1072" s="475"/>
      <c r="F1072" s="475"/>
      <c r="G1072" s="475"/>
      <c r="H1072" s="475"/>
      <c r="I1072" s="6"/>
    </row>
    <row r="1073" spans="1:9" x14ac:dyDescent="0.25">
      <c r="A1073" s="6"/>
      <c r="B1073" s="405"/>
      <c r="C1073" s="474"/>
      <c r="D1073" s="475"/>
      <c r="E1073" s="475"/>
      <c r="F1073" s="475"/>
      <c r="G1073" s="475"/>
      <c r="H1073" s="475"/>
      <c r="I1073" s="6"/>
    </row>
    <row r="1074" spans="1:9" x14ac:dyDescent="0.25">
      <c r="A1074" s="6"/>
      <c r="B1074" s="405"/>
      <c r="C1074" s="474"/>
      <c r="D1074" s="475"/>
      <c r="E1074" s="475"/>
      <c r="F1074" s="475"/>
      <c r="G1074" s="475"/>
      <c r="H1074" s="475"/>
      <c r="I1074" s="6"/>
    </row>
    <row r="1075" spans="1:9" x14ac:dyDescent="0.25">
      <c r="A1075" s="6"/>
      <c r="B1075" s="405"/>
      <c r="C1075" s="474"/>
      <c r="D1075" s="475"/>
      <c r="E1075" s="475"/>
      <c r="F1075" s="475"/>
      <c r="G1075" s="475"/>
      <c r="H1075" s="475"/>
      <c r="I1075" s="6"/>
    </row>
    <row r="1076" spans="1:9" x14ac:dyDescent="0.25">
      <c r="A1076" s="6"/>
      <c r="B1076" s="405"/>
      <c r="C1076" s="474"/>
      <c r="D1076" s="475"/>
      <c r="E1076" s="475"/>
      <c r="F1076" s="475"/>
      <c r="G1076" s="475"/>
      <c r="H1076" s="475"/>
      <c r="I1076" s="6"/>
    </row>
    <row r="1077" spans="1:9" x14ac:dyDescent="0.25">
      <c r="A1077" s="6"/>
      <c r="B1077" s="405"/>
      <c r="C1077" s="474"/>
      <c r="D1077" s="475"/>
      <c r="E1077" s="475"/>
      <c r="F1077" s="475"/>
      <c r="G1077" s="475"/>
      <c r="H1077" s="475"/>
      <c r="I1077" s="6"/>
    </row>
    <row r="1078" spans="1:9" x14ac:dyDescent="0.25">
      <c r="A1078" s="6"/>
      <c r="B1078" s="405"/>
      <c r="C1078" s="474"/>
      <c r="D1078" s="475"/>
      <c r="E1078" s="475"/>
      <c r="F1078" s="475"/>
      <c r="G1078" s="475"/>
      <c r="H1078" s="475"/>
      <c r="I1078" s="6"/>
    </row>
    <row r="1079" spans="1:9" x14ac:dyDescent="0.25">
      <c r="A1079" s="6"/>
      <c r="B1079" s="405"/>
      <c r="C1079" s="474"/>
      <c r="D1079" s="475"/>
      <c r="E1079" s="475"/>
      <c r="F1079" s="475"/>
      <c r="G1079" s="475"/>
      <c r="H1079" s="475"/>
      <c r="I1079" s="6"/>
    </row>
    <row r="1080" spans="1:9" x14ac:dyDescent="0.25">
      <c r="A1080" s="6"/>
      <c r="B1080" s="405"/>
      <c r="C1080" s="474"/>
      <c r="D1080" s="475"/>
      <c r="E1080" s="475"/>
      <c r="F1080" s="475"/>
      <c r="G1080" s="475"/>
      <c r="H1080" s="475"/>
      <c r="I1080" s="6"/>
    </row>
    <row r="1081" spans="1:9" x14ac:dyDescent="0.25">
      <c r="A1081" s="6"/>
      <c r="B1081" s="405"/>
      <c r="C1081" s="474"/>
      <c r="D1081" s="475"/>
      <c r="E1081" s="475"/>
      <c r="F1081" s="475"/>
      <c r="G1081" s="475"/>
      <c r="H1081" s="475"/>
      <c r="I1081" s="6"/>
    </row>
    <row r="1082" spans="1:9" x14ac:dyDescent="0.25">
      <c r="A1082" s="6"/>
      <c r="B1082" s="405"/>
      <c r="C1082" s="474"/>
      <c r="D1082" s="475"/>
      <c r="E1082" s="475"/>
      <c r="F1082" s="475"/>
      <c r="G1082" s="475"/>
      <c r="H1082" s="475"/>
      <c r="I1082" s="6"/>
    </row>
    <row r="1083" spans="1:9" x14ac:dyDescent="0.25">
      <c r="A1083" s="6"/>
      <c r="B1083" s="405"/>
      <c r="C1083" s="474"/>
      <c r="D1083" s="475"/>
      <c r="E1083" s="475"/>
      <c r="F1083" s="475"/>
      <c r="G1083" s="475"/>
      <c r="H1083" s="475"/>
      <c r="I1083" s="6"/>
    </row>
    <row r="1084" spans="1:9" x14ac:dyDescent="0.25">
      <c r="A1084" s="628" t="s">
        <v>276</v>
      </c>
      <c r="B1084" s="628"/>
      <c r="C1084" s="628"/>
      <c r="D1084" s="628"/>
      <c r="E1084" s="628"/>
      <c r="F1084" s="628"/>
      <c r="G1084" s="628"/>
      <c r="H1084" s="628"/>
      <c r="I1084" s="628"/>
    </row>
    <row r="1085" spans="1:9" x14ac:dyDescent="0.25">
      <c r="A1085" s="628" t="s">
        <v>1176</v>
      </c>
      <c r="B1085" s="628"/>
      <c r="C1085" s="628"/>
      <c r="D1085" s="628"/>
      <c r="E1085" s="628"/>
      <c r="F1085" s="628"/>
      <c r="G1085" s="628"/>
      <c r="H1085" s="628"/>
      <c r="I1085" s="628"/>
    </row>
    <row r="1086" spans="1:9" x14ac:dyDescent="0.25">
      <c r="A1086" s="628" t="s">
        <v>34</v>
      </c>
      <c r="B1086" s="628"/>
      <c r="C1086" s="628"/>
      <c r="D1086" s="628"/>
      <c r="E1086" s="628"/>
      <c r="F1086" s="628"/>
      <c r="G1086" s="628"/>
      <c r="H1086" s="628"/>
      <c r="I1086" s="628"/>
    </row>
    <row r="1087" spans="1:9" x14ac:dyDescent="0.25">
      <c r="A1087" s="389"/>
      <c r="B1087" s="389"/>
      <c r="C1087" s="389"/>
      <c r="D1087" s="389"/>
      <c r="E1087" s="389"/>
      <c r="F1087" s="389"/>
      <c r="G1087" s="389"/>
      <c r="H1087" s="389"/>
    </row>
    <row r="1088" spans="1:9" x14ac:dyDescent="0.25">
      <c r="A1088" s="72" t="s">
        <v>663</v>
      </c>
      <c r="B1088" s="62"/>
      <c r="C1088" s="62"/>
      <c r="D1088" s="62"/>
      <c r="E1088" s="62"/>
      <c r="F1088" s="62"/>
      <c r="G1088" s="62"/>
      <c r="H1088" s="63"/>
    </row>
    <row r="1089" spans="1:9" x14ac:dyDescent="0.25">
      <c r="A1089" s="63"/>
      <c r="B1089" s="389"/>
      <c r="C1089" s="63"/>
      <c r="D1089" s="63"/>
      <c r="E1089" s="63"/>
      <c r="F1089" s="63"/>
      <c r="G1089" s="63"/>
      <c r="H1089" s="63"/>
    </row>
    <row r="1090" spans="1:9" x14ac:dyDescent="0.25">
      <c r="A1090" s="64" t="s">
        <v>664</v>
      </c>
      <c r="B1090" s="64"/>
      <c r="C1090" s="64"/>
      <c r="D1090" s="63"/>
      <c r="E1090" s="63"/>
      <c r="F1090" s="63"/>
      <c r="G1090" s="63"/>
      <c r="H1090" s="63"/>
    </row>
    <row r="1091" spans="1:9" ht="36.75" x14ac:dyDescent="0.25">
      <c r="A1091" s="46" t="s">
        <v>0</v>
      </c>
      <c r="B1091" s="65" t="s">
        <v>35</v>
      </c>
      <c r="C1091" s="65" t="s">
        <v>36</v>
      </c>
      <c r="D1091" s="65" t="s">
        <v>279</v>
      </c>
      <c r="E1091" s="65" t="s">
        <v>222</v>
      </c>
      <c r="F1091" s="65" t="s">
        <v>273</v>
      </c>
      <c r="G1091" s="66" t="s">
        <v>37</v>
      </c>
      <c r="H1091" s="66" t="s">
        <v>1175</v>
      </c>
      <c r="I1091" s="66" t="s">
        <v>209</v>
      </c>
    </row>
    <row r="1092" spans="1:9" ht="23.25" x14ac:dyDescent="0.25">
      <c r="A1092" s="36">
        <v>1</v>
      </c>
      <c r="B1092" s="243">
        <v>22100271</v>
      </c>
      <c r="C1092" s="244" t="s">
        <v>665</v>
      </c>
      <c r="D1092" s="241">
        <v>1000000</v>
      </c>
      <c r="E1092" s="249">
        <v>0</v>
      </c>
      <c r="F1092" s="249">
        <v>0</v>
      </c>
      <c r="G1092" s="245">
        <v>0</v>
      </c>
      <c r="H1092" s="50">
        <f t="shared" ref="H1092:H1113" si="34">D1092+G1092</f>
        <v>1000000</v>
      </c>
      <c r="I1092" s="56"/>
    </row>
    <row r="1093" spans="1:9" x14ac:dyDescent="0.25">
      <c r="A1093" s="36">
        <v>2</v>
      </c>
      <c r="B1093" s="243">
        <v>22100422</v>
      </c>
      <c r="C1093" s="244" t="s">
        <v>294</v>
      </c>
      <c r="D1093" s="241">
        <v>3000000</v>
      </c>
      <c r="E1093" s="249">
        <v>0</v>
      </c>
      <c r="F1093" s="249">
        <v>0</v>
      </c>
      <c r="G1093" s="245">
        <v>0</v>
      </c>
      <c r="H1093" s="50">
        <f t="shared" si="34"/>
        <v>3000000</v>
      </c>
      <c r="I1093" s="56"/>
    </row>
    <row r="1094" spans="1:9" x14ac:dyDescent="0.25">
      <c r="A1094" s="36">
        <v>3</v>
      </c>
      <c r="B1094" s="243">
        <v>22100605</v>
      </c>
      <c r="C1094" s="244" t="s">
        <v>666</v>
      </c>
      <c r="D1094" s="241">
        <v>4000000</v>
      </c>
      <c r="E1094" s="249">
        <v>3584500</v>
      </c>
      <c r="F1094" s="249">
        <v>0</v>
      </c>
      <c r="G1094" s="245">
        <v>10000000</v>
      </c>
      <c r="H1094" s="50">
        <f t="shared" si="34"/>
        <v>14000000</v>
      </c>
      <c r="I1094" s="56" t="s">
        <v>208</v>
      </c>
    </row>
    <row r="1095" spans="1:9" ht="12.95" customHeight="1" x14ac:dyDescent="0.25">
      <c r="A1095" s="36">
        <v>4</v>
      </c>
      <c r="B1095" s="243">
        <v>22100606</v>
      </c>
      <c r="C1095" s="244" t="s">
        <v>667</v>
      </c>
      <c r="D1095" s="241">
        <v>1000000</v>
      </c>
      <c r="E1095" s="249">
        <v>1000000</v>
      </c>
      <c r="F1095" s="249">
        <v>0</v>
      </c>
      <c r="G1095" s="245">
        <v>10000000</v>
      </c>
      <c r="H1095" s="50">
        <f t="shared" si="34"/>
        <v>11000000</v>
      </c>
      <c r="I1095" s="56" t="s">
        <v>208</v>
      </c>
    </row>
    <row r="1096" spans="1:9" ht="12.95" customHeight="1" x14ac:dyDescent="0.25">
      <c r="A1096" s="36">
        <v>5</v>
      </c>
      <c r="B1096" s="243">
        <v>22100607</v>
      </c>
      <c r="C1096" s="244" t="s">
        <v>668</v>
      </c>
      <c r="D1096" s="241">
        <v>2000000</v>
      </c>
      <c r="E1096" s="249">
        <v>1685000</v>
      </c>
      <c r="F1096" s="249">
        <v>0</v>
      </c>
      <c r="G1096" s="245">
        <v>5000000</v>
      </c>
      <c r="H1096" s="50">
        <f t="shared" si="34"/>
        <v>7000000</v>
      </c>
      <c r="I1096" s="56" t="s">
        <v>208</v>
      </c>
    </row>
    <row r="1097" spans="1:9" ht="12.95" customHeight="1" x14ac:dyDescent="0.25">
      <c r="A1097" s="36">
        <v>6</v>
      </c>
      <c r="B1097" s="243">
        <v>22100608</v>
      </c>
      <c r="C1097" s="244" t="s">
        <v>669</v>
      </c>
      <c r="D1097" s="241">
        <v>2000000</v>
      </c>
      <c r="E1097" s="249">
        <v>0</v>
      </c>
      <c r="F1097" s="249">
        <v>0</v>
      </c>
      <c r="G1097" s="245">
        <v>0</v>
      </c>
      <c r="H1097" s="50">
        <f t="shared" si="34"/>
        <v>2000000</v>
      </c>
      <c r="I1097" s="56"/>
    </row>
    <row r="1098" spans="1:9" ht="12.95" customHeight="1" x14ac:dyDescent="0.25">
      <c r="A1098" s="36">
        <v>7</v>
      </c>
      <c r="B1098" s="243">
        <v>22100609</v>
      </c>
      <c r="C1098" s="244" t="s">
        <v>670</v>
      </c>
      <c r="D1098" s="241">
        <v>2000000</v>
      </c>
      <c r="E1098" s="249"/>
      <c r="F1098" s="249"/>
      <c r="G1098" s="245"/>
      <c r="H1098" s="50">
        <f t="shared" si="34"/>
        <v>2000000</v>
      </c>
      <c r="I1098" s="56"/>
    </row>
    <row r="1099" spans="1:9" ht="12.95" customHeight="1" x14ac:dyDescent="0.25">
      <c r="A1099" s="36">
        <v>8</v>
      </c>
      <c r="B1099" s="243">
        <v>22100610</v>
      </c>
      <c r="C1099" s="244" t="s">
        <v>671</v>
      </c>
      <c r="D1099" s="241">
        <v>2000000</v>
      </c>
      <c r="E1099" s="249"/>
      <c r="F1099" s="249"/>
      <c r="G1099" s="245"/>
      <c r="H1099" s="50">
        <f t="shared" si="34"/>
        <v>2000000</v>
      </c>
      <c r="I1099" s="56"/>
    </row>
    <row r="1100" spans="1:9" ht="12.95" customHeight="1" x14ac:dyDescent="0.25">
      <c r="A1100" s="36">
        <v>9</v>
      </c>
      <c r="B1100" s="243">
        <v>22100611</v>
      </c>
      <c r="C1100" s="244" t="s">
        <v>672</v>
      </c>
      <c r="D1100" s="241">
        <v>2000000</v>
      </c>
      <c r="E1100" s="249"/>
      <c r="F1100" s="249"/>
      <c r="G1100" s="245"/>
      <c r="H1100" s="50">
        <f t="shared" si="34"/>
        <v>2000000</v>
      </c>
      <c r="I1100" s="56"/>
    </row>
    <row r="1101" spans="1:9" ht="12.95" customHeight="1" x14ac:dyDescent="0.25">
      <c r="A1101" s="36">
        <v>10</v>
      </c>
      <c r="B1101" s="243">
        <v>22100612</v>
      </c>
      <c r="C1101" s="244" t="s">
        <v>673</v>
      </c>
      <c r="D1101" s="241">
        <v>1000000</v>
      </c>
      <c r="E1101" s="249"/>
      <c r="F1101" s="249"/>
      <c r="G1101" s="245"/>
      <c r="H1101" s="50">
        <f t="shared" si="34"/>
        <v>1000000</v>
      </c>
      <c r="I1101" s="56"/>
    </row>
    <row r="1102" spans="1:9" ht="23.25" x14ac:dyDescent="0.25">
      <c r="A1102" s="36">
        <v>11</v>
      </c>
      <c r="B1102" s="243">
        <v>22100613</v>
      </c>
      <c r="C1102" s="244" t="s">
        <v>674</v>
      </c>
      <c r="D1102" s="241">
        <v>1000000</v>
      </c>
      <c r="E1102" s="249"/>
      <c r="F1102" s="249"/>
      <c r="G1102" s="245"/>
      <c r="H1102" s="50">
        <f t="shared" si="34"/>
        <v>1000000</v>
      </c>
      <c r="I1102" s="56"/>
    </row>
    <row r="1103" spans="1:9" x14ac:dyDescent="0.25">
      <c r="A1103" s="36">
        <v>12</v>
      </c>
      <c r="B1103" s="243">
        <v>22100614</v>
      </c>
      <c r="C1103" s="244" t="s">
        <v>675</v>
      </c>
      <c r="D1103" s="241">
        <v>3000000</v>
      </c>
      <c r="E1103" s="249">
        <v>1000000</v>
      </c>
      <c r="F1103" s="249"/>
      <c r="G1103" s="245">
        <v>3000000</v>
      </c>
      <c r="H1103" s="50">
        <f t="shared" si="34"/>
        <v>6000000</v>
      </c>
      <c r="I1103" s="56" t="s">
        <v>208</v>
      </c>
    </row>
    <row r="1104" spans="1:9" x14ac:dyDescent="0.25">
      <c r="A1104" s="36">
        <v>13</v>
      </c>
      <c r="B1104" s="243">
        <v>22100615</v>
      </c>
      <c r="C1104" s="244" t="s">
        <v>676</v>
      </c>
      <c r="D1104" s="241">
        <v>20000000</v>
      </c>
      <c r="E1104" s="249">
        <v>19108000</v>
      </c>
      <c r="F1104" s="249"/>
      <c r="G1104" s="245">
        <v>75000000</v>
      </c>
      <c r="H1104" s="50">
        <f t="shared" si="34"/>
        <v>95000000</v>
      </c>
      <c r="I1104" s="56" t="s">
        <v>208</v>
      </c>
    </row>
    <row r="1105" spans="1:9" ht="23.25" x14ac:dyDescent="0.25">
      <c r="A1105" s="36">
        <v>14</v>
      </c>
      <c r="B1105" s="243">
        <v>22100616</v>
      </c>
      <c r="C1105" s="244" t="s">
        <v>677</v>
      </c>
      <c r="D1105" s="241">
        <v>1000000</v>
      </c>
      <c r="E1105" s="249"/>
      <c r="F1105" s="249"/>
      <c r="G1105" s="245"/>
      <c r="H1105" s="50">
        <f t="shared" si="34"/>
        <v>1000000</v>
      </c>
      <c r="I1105" s="56"/>
    </row>
    <row r="1106" spans="1:9" ht="23.25" x14ac:dyDescent="0.25">
      <c r="A1106" s="36">
        <v>15</v>
      </c>
      <c r="B1106" s="243">
        <v>22100617</v>
      </c>
      <c r="C1106" s="244" t="s">
        <v>678</v>
      </c>
      <c r="D1106" s="241">
        <v>2000000</v>
      </c>
      <c r="E1106" s="249"/>
      <c r="F1106" s="249"/>
      <c r="G1106" s="245"/>
      <c r="H1106" s="50">
        <f t="shared" si="34"/>
        <v>2000000</v>
      </c>
      <c r="I1106" s="56"/>
    </row>
    <row r="1107" spans="1:9" x14ac:dyDescent="0.25">
      <c r="A1107" s="36">
        <v>16</v>
      </c>
      <c r="B1107" s="243">
        <v>22100618</v>
      </c>
      <c r="C1107" s="244" t="s">
        <v>679</v>
      </c>
      <c r="D1107" s="241">
        <v>1000000</v>
      </c>
      <c r="E1107" s="249"/>
      <c r="F1107" s="249"/>
      <c r="G1107" s="245"/>
      <c r="H1107" s="50">
        <f t="shared" si="34"/>
        <v>1000000</v>
      </c>
      <c r="I1107" s="56"/>
    </row>
    <row r="1108" spans="1:9" x14ac:dyDescent="0.25">
      <c r="A1108" s="36">
        <v>17</v>
      </c>
      <c r="B1108" s="243">
        <v>22100619</v>
      </c>
      <c r="C1108" s="244" t="s">
        <v>680</v>
      </c>
      <c r="D1108" s="241">
        <v>58000000</v>
      </c>
      <c r="E1108" s="249">
        <v>58000000</v>
      </c>
      <c r="F1108" s="249"/>
      <c r="G1108" s="245">
        <v>15000000</v>
      </c>
      <c r="H1108" s="50">
        <f t="shared" si="34"/>
        <v>73000000</v>
      </c>
      <c r="I1108" s="56" t="s">
        <v>208</v>
      </c>
    </row>
    <row r="1109" spans="1:9" ht="23.25" x14ac:dyDescent="0.25">
      <c r="A1109" s="36">
        <v>18</v>
      </c>
      <c r="B1109" s="243">
        <v>22100620</v>
      </c>
      <c r="C1109" s="244" t="s">
        <v>681</v>
      </c>
      <c r="D1109" s="241">
        <v>9000000</v>
      </c>
      <c r="E1109" s="249"/>
      <c r="F1109" s="249"/>
      <c r="G1109" s="245"/>
      <c r="H1109" s="50">
        <f t="shared" si="34"/>
        <v>9000000</v>
      </c>
      <c r="I1109" s="56"/>
    </row>
    <row r="1110" spans="1:9" x14ac:dyDescent="0.25">
      <c r="A1110" s="36">
        <v>19</v>
      </c>
      <c r="B1110" s="243">
        <v>22100621</v>
      </c>
      <c r="C1110" s="244" t="s">
        <v>682</v>
      </c>
      <c r="D1110" s="241">
        <v>1000000</v>
      </c>
      <c r="E1110" s="249"/>
      <c r="F1110" s="249"/>
      <c r="G1110" s="245"/>
      <c r="H1110" s="50">
        <f t="shared" si="34"/>
        <v>1000000</v>
      </c>
      <c r="I1110" s="56"/>
    </row>
    <row r="1111" spans="1:9" x14ac:dyDescent="0.25">
      <c r="A1111" s="36">
        <v>20</v>
      </c>
      <c r="B1111" s="243">
        <v>22100664</v>
      </c>
      <c r="C1111" s="244" t="s">
        <v>683</v>
      </c>
      <c r="D1111" s="241">
        <v>500000</v>
      </c>
      <c r="E1111" s="249"/>
      <c r="F1111" s="249"/>
      <c r="G1111" s="245"/>
      <c r="H1111" s="50">
        <f t="shared" si="34"/>
        <v>500000</v>
      </c>
      <c r="I1111" s="56"/>
    </row>
    <row r="1112" spans="1:9" x14ac:dyDescent="0.25">
      <c r="A1112" s="36">
        <v>21</v>
      </c>
      <c r="B1112" s="243">
        <v>22100667</v>
      </c>
      <c r="C1112" s="244" t="s">
        <v>684</v>
      </c>
      <c r="D1112" s="241">
        <v>1500000</v>
      </c>
      <c r="E1112" s="249"/>
      <c r="F1112" s="249"/>
      <c r="G1112" s="245"/>
      <c r="H1112" s="50">
        <f t="shared" si="34"/>
        <v>1500000</v>
      </c>
      <c r="I1112" s="56"/>
    </row>
    <row r="1113" spans="1:9" x14ac:dyDescent="0.25">
      <c r="A1113" s="36">
        <v>22</v>
      </c>
      <c r="B1113" s="243">
        <v>22100668</v>
      </c>
      <c r="C1113" s="437" t="s">
        <v>685</v>
      </c>
      <c r="D1113" s="241">
        <v>2000000</v>
      </c>
      <c r="E1113" s="249"/>
      <c r="F1113" s="249"/>
      <c r="G1113" s="245"/>
      <c r="H1113" s="50">
        <f t="shared" si="34"/>
        <v>2000000</v>
      </c>
      <c r="I1113" s="56"/>
    </row>
    <row r="1114" spans="1:9" x14ac:dyDescent="0.25">
      <c r="A1114" s="33"/>
      <c r="B1114" s="31"/>
      <c r="C1114" s="49" t="s">
        <v>38</v>
      </c>
      <c r="D1114" s="254">
        <f>SUM(D1092:D1113)</f>
        <v>120000000</v>
      </c>
      <c r="E1114" s="254">
        <f t="shared" ref="E1114:H1114" si="35">SUM(E1092:E1113)</f>
        <v>84377500</v>
      </c>
      <c r="F1114" s="254">
        <f t="shared" si="35"/>
        <v>0</v>
      </c>
      <c r="G1114" s="254">
        <f t="shared" si="35"/>
        <v>118000000</v>
      </c>
      <c r="H1114" s="254">
        <f t="shared" si="35"/>
        <v>238000000</v>
      </c>
      <c r="I1114" s="33"/>
    </row>
    <row r="1116" spans="1:9" x14ac:dyDescent="0.25">
      <c r="A1116" s="628" t="s">
        <v>276</v>
      </c>
      <c r="B1116" s="628"/>
      <c r="C1116" s="628"/>
      <c r="D1116" s="628"/>
      <c r="E1116" s="628"/>
      <c r="F1116" s="628"/>
      <c r="G1116" s="628"/>
      <c r="H1116" s="628"/>
      <c r="I1116" s="628"/>
    </row>
    <row r="1117" spans="1:9" x14ac:dyDescent="0.25">
      <c r="A1117" s="628" t="s">
        <v>1176</v>
      </c>
      <c r="B1117" s="628"/>
      <c r="C1117" s="628"/>
      <c r="D1117" s="628"/>
      <c r="E1117" s="628"/>
      <c r="F1117" s="628"/>
      <c r="G1117" s="628"/>
      <c r="H1117" s="628"/>
      <c r="I1117" s="628"/>
    </row>
    <row r="1118" spans="1:9" x14ac:dyDescent="0.25">
      <c r="A1118" s="628" t="s">
        <v>34</v>
      </c>
      <c r="B1118" s="628"/>
      <c r="C1118" s="628"/>
      <c r="D1118" s="628"/>
      <c r="E1118" s="628"/>
      <c r="F1118" s="628"/>
      <c r="G1118" s="628"/>
      <c r="H1118" s="628"/>
      <c r="I1118" s="628"/>
    </row>
    <row r="1119" spans="1:9" x14ac:dyDescent="0.25">
      <c r="A1119" s="312"/>
      <c r="B1119" s="312"/>
      <c r="C1119" s="312"/>
      <c r="D1119" s="312"/>
      <c r="E1119" s="312"/>
      <c r="F1119" s="312"/>
      <c r="G1119" s="312"/>
      <c r="H1119" s="312"/>
    </row>
    <row r="1120" spans="1:9" x14ac:dyDescent="0.25">
      <c r="A1120" s="72" t="s">
        <v>606</v>
      </c>
      <c r="B1120" s="62"/>
      <c r="C1120" s="62"/>
      <c r="D1120" s="62"/>
      <c r="E1120" s="62"/>
      <c r="F1120" s="62"/>
      <c r="G1120" s="62"/>
      <c r="H1120" s="63"/>
    </row>
    <row r="1121" spans="1:9" x14ac:dyDescent="0.25">
      <c r="A1121" s="63"/>
      <c r="B1121" s="312"/>
      <c r="C1121" s="63"/>
      <c r="D1121" s="63"/>
      <c r="E1121" s="63"/>
      <c r="F1121" s="63"/>
      <c r="G1121" s="63"/>
      <c r="H1121" s="63"/>
    </row>
    <row r="1122" spans="1:9" x14ac:dyDescent="0.25">
      <c r="A1122" s="64" t="s">
        <v>579</v>
      </c>
      <c r="B1122" s="64"/>
      <c r="C1122" s="64"/>
      <c r="D1122" s="63"/>
      <c r="E1122" s="63"/>
      <c r="F1122" s="63"/>
      <c r="G1122" s="63"/>
      <c r="H1122" s="63"/>
    </row>
    <row r="1123" spans="1:9" ht="36.75" x14ac:dyDescent="0.25">
      <c r="A1123" s="46" t="s">
        <v>0</v>
      </c>
      <c r="B1123" s="65" t="s">
        <v>35</v>
      </c>
      <c r="C1123" s="65" t="s">
        <v>36</v>
      </c>
      <c r="D1123" s="65" t="s">
        <v>279</v>
      </c>
      <c r="E1123" s="65" t="s">
        <v>222</v>
      </c>
      <c r="F1123" s="65" t="s">
        <v>273</v>
      </c>
      <c r="G1123" s="66" t="s">
        <v>37</v>
      </c>
      <c r="H1123" s="66" t="s">
        <v>1175</v>
      </c>
      <c r="I1123" s="66" t="s">
        <v>209</v>
      </c>
    </row>
    <row r="1124" spans="1:9" x14ac:dyDescent="0.25">
      <c r="A1124" s="36">
        <v>1</v>
      </c>
      <c r="B1124" s="243">
        <v>22100622</v>
      </c>
      <c r="C1124" s="244" t="s">
        <v>580</v>
      </c>
      <c r="D1124" s="241">
        <v>4500000</v>
      </c>
      <c r="E1124" s="249">
        <v>0</v>
      </c>
      <c r="F1124" s="249">
        <v>0</v>
      </c>
      <c r="G1124" s="245">
        <v>0</v>
      </c>
      <c r="H1124" s="50">
        <f t="shared" ref="H1124:H1129" si="36">D1124+G1124</f>
        <v>4500000</v>
      </c>
      <c r="I1124" s="56"/>
    </row>
    <row r="1125" spans="1:9" ht="34.5" x14ac:dyDescent="0.25">
      <c r="A1125" s="36">
        <v>2</v>
      </c>
      <c r="B1125" s="243">
        <v>22100623</v>
      </c>
      <c r="C1125" s="244" t="s">
        <v>581</v>
      </c>
      <c r="D1125" s="241">
        <v>19000000</v>
      </c>
      <c r="E1125" s="249">
        <v>0</v>
      </c>
      <c r="F1125" s="249">
        <v>0</v>
      </c>
      <c r="G1125" s="245">
        <v>0</v>
      </c>
      <c r="H1125" s="50">
        <f t="shared" si="36"/>
        <v>19000000</v>
      </c>
      <c r="I1125" s="56"/>
    </row>
    <row r="1126" spans="1:9" ht="23.25" x14ac:dyDescent="0.25">
      <c r="A1126" s="36">
        <v>3</v>
      </c>
      <c r="B1126" s="243">
        <v>22100624</v>
      </c>
      <c r="C1126" s="244" t="s">
        <v>582</v>
      </c>
      <c r="D1126" s="241">
        <v>2500000</v>
      </c>
      <c r="E1126" s="249">
        <v>2700000</v>
      </c>
      <c r="F1126" s="249">
        <v>0</v>
      </c>
      <c r="G1126" s="245">
        <v>500000</v>
      </c>
      <c r="H1126" s="50">
        <f t="shared" si="36"/>
        <v>3000000</v>
      </c>
      <c r="I1126" s="56" t="s">
        <v>208</v>
      </c>
    </row>
    <row r="1127" spans="1:9" ht="23.25" x14ac:dyDescent="0.25">
      <c r="A1127" s="36">
        <v>4</v>
      </c>
      <c r="B1127" s="243">
        <v>22100625</v>
      </c>
      <c r="C1127" s="244" t="s">
        <v>583</v>
      </c>
      <c r="D1127" s="241">
        <v>2500000</v>
      </c>
      <c r="E1127" s="249">
        <v>0</v>
      </c>
      <c r="F1127" s="249">
        <v>0</v>
      </c>
      <c r="G1127" s="245">
        <v>0</v>
      </c>
      <c r="H1127" s="50">
        <f t="shared" si="36"/>
        <v>2500000</v>
      </c>
      <c r="I1127" s="56"/>
    </row>
    <row r="1128" spans="1:9" ht="23.25" x14ac:dyDescent="0.25">
      <c r="A1128" s="36">
        <v>5</v>
      </c>
      <c r="B1128" s="243">
        <v>22100626</v>
      </c>
      <c r="C1128" s="244" t="s">
        <v>584</v>
      </c>
      <c r="D1128" s="241">
        <v>20000000</v>
      </c>
      <c r="E1128" s="249">
        <v>0</v>
      </c>
      <c r="F1128" s="249">
        <v>0</v>
      </c>
      <c r="G1128" s="245">
        <v>0</v>
      </c>
      <c r="H1128" s="50">
        <f t="shared" si="36"/>
        <v>20000000</v>
      </c>
      <c r="I1128" s="56"/>
    </row>
    <row r="1129" spans="1:9" x14ac:dyDescent="0.25">
      <c r="A1129" s="36">
        <v>6</v>
      </c>
      <c r="B1129" s="243">
        <v>22100627</v>
      </c>
      <c r="C1129" s="244" t="s">
        <v>585</v>
      </c>
      <c r="D1129" s="241">
        <v>1500000</v>
      </c>
      <c r="E1129" s="249">
        <v>0</v>
      </c>
      <c r="F1129" s="249">
        <v>0</v>
      </c>
      <c r="G1129" s="245">
        <v>0</v>
      </c>
      <c r="H1129" s="50">
        <f t="shared" si="36"/>
        <v>1500000</v>
      </c>
      <c r="I1129" s="56"/>
    </row>
    <row r="1130" spans="1:9" x14ac:dyDescent="0.25">
      <c r="A1130" s="33"/>
      <c r="B1130" s="31"/>
      <c r="C1130" s="49" t="s">
        <v>38</v>
      </c>
      <c r="D1130" s="254">
        <f>SUM(D1124:D1129)</f>
        <v>50000000</v>
      </c>
      <c r="E1130" s="254">
        <f>SUM(E1124:E1129)</f>
        <v>2700000</v>
      </c>
      <c r="F1130" s="254">
        <f>SUM(F1124:F1129)</f>
        <v>0</v>
      </c>
      <c r="G1130" s="254">
        <f>SUM(G1124:G1129)</f>
        <v>500000</v>
      </c>
      <c r="H1130" s="254">
        <f>SUM(H1124:H1129)</f>
        <v>50500000</v>
      </c>
      <c r="I1130" s="33"/>
    </row>
    <row r="1146" spans="1:9" x14ac:dyDescent="0.25">
      <c r="A1146" s="628" t="s">
        <v>276</v>
      </c>
      <c r="B1146" s="628"/>
      <c r="C1146" s="628"/>
      <c r="D1146" s="628"/>
      <c r="E1146" s="628"/>
      <c r="F1146" s="628"/>
      <c r="G1146" s="628"/>
      <c r="H1146" s="628"/>
      <c r="I1146" s="628"/>
    </row>
    <row r="1147" spans="1:9" x14ac:dyDescent="0.25">
      <c r="A1147" s="628" t="s">
        <v>1176</v>
      </c>
      <c r="B1147" s="628"/>
      <c r="C1147" s="628"/>
      <c r="D1147" s="628"/>
      <c r="E1147" s="628"/>
      <c r="F1147" s="628"/>
      <c r="G1147" s="628"/>
      <c r="H1147" s="628"/>
      <c r="I1147" s="628"/>
    </row>
    <row r="1148" spans="1:9" x14ac:dyDescent="0.25">
      <c r="A1148" s="628"/>
      <c r="B1148" s="628"/>
      <c r="C1148" s="628"/>
      <c r="D1148" s="628"/>
      <c r="E1148" s="628"/>
      <c r="F1148" s="628"/>
      <c r="G1148" s="628"/>
      <c r="H1148" s="628"/>
    </row>
    <row r="1149" spans="1:9" x14ac:dyDescent="0.25">
      <c r="A1149" s="389"/>
      <c r="B1149" s="389"/>
      <c r="C1149" s="389"/>
      <c r="D1149" s="389"/>
      <c r="E1149" s="389"/>
      <c r="F1149" s="389"/>
      <c r="G1149" s="389"/>
      <c r="H1149" s="389"/>
    </row>
    <row r="1150" spans="1:9" x14ac:dyDescent="0.25">
      <c r="A1150" s="631" t="s">
        <v>1017</v>
      </c>
      <c r="B1150" s="631"/>
      <c r="C1150" s="631"/>
      <c r="D1150" s="631"/>
      <c r="E1150" s="631"/>
      <c r="F1150" s="631"/>
      <c r="G1150" s="631"/>
      <c r="H1150" s="631"/>
      <c r="I1150" s="631"/>
    </row>
    <row r="1151" spans="1:9" ht="36.75" x14ac:dyDescent="0.25">
      <c r="A1151" s="46" t="s">
        <v>0</v>
      </c>
      <c r="B1151" s="65" t="s">
        <v>35</v>
      </c>
      <c r="C1151" s="65" t="s">
        <v>36</v>
      </c>
      <c r="D1151" s="65" t="s">
        <v>279</v>
      </c>
      <c r="E1151" s="65" t="s">
        <v>222</v>
      </c>
      <c r="F1151" s="65" t="s">
        <v>273</v>
      </c>
      <c r="G1151" s="66" t="s">
        <v>37</v>
      </c>
      <c r="H1151" s="66" t="s">
        <v>1175</v>
      </c>
      <c r="I1151" s="66" t="s">
        <v>209</v>
      </c>
    </row>
    <row r="1152" spans="1:9" ht="24.75" x14ac:dyDescent="0.25">
      <c r="A1152" s="117" t="s">
        <v>155</v>
      </c>
      <c r="B1152" s="47">
        <v>11101200100</v>
      </c>
      <c r="C1152" s="275" t="s">
        <v>217</v>
      </c>
      <c r="D1152" s="59">
        <v>200000000</v>
      </c>
      <c r="E1152" s="48">
        <v>0</v>
      </c>
      <c r="F1152" s="266">
        <v>0</v>
      </c>
      <c r="G1152" s="48">
        <v>0</v>
      </c>
      <c r="H1152" s="209">
        <f t="shared" ref="H1152:H1166" si="37">D1152-F1152+G1152</f>
        <v>200000000</v>
      </c>
      <c r="I1152" s="215"/>
    </row>
    <row r="1153" spans="1:9" ht="24.75" x14ac:dyDescent="0.25">
      <c r="A1153" s="117" t="s">
        <v>156</v>
      </c>
      <c r="B1153" s="47">
        <v>11111500200</v>
      </c>
      <c r="C1153" s="275" t="s">
        <v>635</v>
      </c>
      <c r="D1153" s="237">
        <v>0</v>
      </c>
      <c r="E1153" s="48">
        <v>0</v>
      </c>
      <c r="F1153" s="266">
        <v>0</v>
      </c>
      <c r="G1153" s="48">
        <v>0</v>
      </c>
      <c r="H1153" s="209">
        <f t="shared" si="37"/>
        <v>0</v>
      </c>
      <c r="I1153" s="56"/>
    </row>
    <row r="1154" spans="1:9" ht="24.75" x14ac:dyDescent="0.25">
      <c r="A1154" s="117" t="s">
        <v>157</v>
      </c>
      <c r="B1154" s="47">
        <v>12300300100</v>
      </c>
      <c r="C1154" s="275" t="s">
        <v>52</v>
      </c>
      <c r="D1154" s="59">
        <v>60000000</v>
      </c>
      <c r="E1154" s="48">
        <v>0</v>
      </c>
      <c r="F1154" s="155">
        <v>0</v>
      </c>
      <c r="G1154" s="48">
        <v>0</v>
      </c>
      <c r="H1154" s="209">
        <f t="shared" si="37"/>
        <v>60000000</v>
      </c>
      <c r="I1154" s="215"/>
    </row>
    <row r="1155" spans="1:9" ht="24.75" x14ac:dyDescent="0.25">
      <c r="A1155" s="117" t="s">
        <v>20</v>
      </c>
      <c r="B1155" s="47">
        <v>12400400100</v>
      </c>
      <c r="C1155" s="275" t="s">
        <v>636</v>
      </c>
      <c r="D1155" s="59">
        <v>2000000</v>
      </c>
      <c r="E1155" s="48">
        <v>0</v>
      </c>
      <c r="F1155" s="155">
        <v>0</v>
      </c>
      <c r="G1155" s="48">
        <v>0</v>
      </c>
      <c r="H1155" s="209">
        <f t="shared" si="37"/>
        <v>2000000</v>
      </c>
      <c r="I1155" s="215"/>
    </row>
    <row r="1156" spans="1:9" x14ac:dyDescent="0.25">
      <c r="A1156" s="117" t="s">
        <v>158</v>
      </c>
      <c r="B1156" s="47">
        <v>12400400200</v>
      </c>
      <c r="C1156" s="275" t="s">
        <v>637</v>
      </c>
      <c r="D1156" s="59">
        <v>3000000</v>
      </c>
      <c r="E1156" s="48">
        <v>0</v>
      </c>
      <c r="F1156" s="155">
        <v>0</v>
      </c>
      <c r="G1156" s="48">
        <v>0</v>
      </c>
      <c r="H1156" s="209">
        <f t="shared" si="37"/>
        <v>3000000</v>
      </c>
      <c r="I1156" s="118"/>
    </row>
    <row r="1157" spans="1:9" x14ac:dyDescent="0.25">
      <c r="A1157" s="117" t="s">
        <v>21</v>
      </c>
      <c r="B1157" s="47">
        <v>12500100200</v>
      </c>
      <c r="C1157" s="275" t="s">
        <v>638</v>
      </c>
      <c r="D1157" s="59">
        <v>2500000</v>
      </c>
      <c r="E1157" s="48">
        <v>0</v>
      </c>
      <c r="F1157" s="155">
        <v>0</v>
      </c>
      <c r="G1157" s="48">
        <v>0</v>
      </c>
      <c r="H1157" s="209">
        <f t="shared" si="37"/>
        <v>2500000</v>
      </c>
      <c r="I1157" s="118"/>
    </row>
    <row r="1158" spans="1:9" x14ac:dyDescent="0.25">
      <c r="A1158" s="117"/>
      <c r="B1158" s="47">
        <v>23305200100</v>
      </c>
      <c r="C1158" s="275" t="s">
        <v>639</v>
      </c>
      <c r="D1158" s="59">
        <v>10000000</v>
      </c>
      <c r="E1158" s="48">
        <v>0</v>
      </c>
      <c r="F1158" s="155">
        <v>0</v>
      </c>
      <c r="G1158" s="48">
        <v>0</v>
      </c>
      <c r="H1158" s="209">
        <f t="shared" si="37"/>
        <v>10000000</v>
      </c>
      <c r="I1158" s="118"/>
    </row>
    <row r="1159" spans="1:9" ht="36.75" x14ac:dyDescent="0.25">
      <c r="A1159" s="117"/>
      <c r="B1159" s="47">
        <v>23400400100</v>
      </c>
      <c r="C1159" s="275" t="s">
        <v>71</v>
      </c>
      <c r="D1159" s="59">
        <v>50000000</v>
      </c>
      <c r="E1159" s="48">
        <v>0</v>
      </c>
      <c r="F1159" s="155">
        <v>0</v>
      </c>
      <c r="G1159" s="48">
        <v>0</v>
      </c>
      <c r="H1159" s="209">
        <f t="shared" si="37"/>
        <v>50000000</v>
      </c>
      <c r="I1159" s="118"/>
    </row>
    <row r="1160" spans="1:9" ht="24.75" x14ac:dyDescent="0.25">
      <c r="A1160" s="117"/>
      <c r="B1160" s="47">
        <v>51300100200</v>
      </c>
      <c r="C1160" s="275" t="s">
        <v>83</v>
      </c>
      <c r="D1160" s="59">
        <v>650000000</v>
      </c>
      <c r="E1160" s="48">
        <v>0</v>
      </c>
      <c r="F1160" s="155">
        <v>0</v>
      </c>
      <c r="G1160" s="48">
        <v>0</v>
      </c>
      <c r="H1160" s="209">
        <f t="shared" si="37"/>
        <v>650000000</v>
      </c>
      <c r="I1160" s="118"/>
    </row>
    <row r="1161" spans="1:9" x14ac:dyDescent="0.25">
      <c r="A1161" s="117"/>
      <c r="B1161" s="47">
        <v>51701800100</v>
      </c>
      <c r="C1161" s="275" t="s">
        <v>88</v>
      </c>
      <c r="D1161" s="59">
        <v>2700000000</v>
      </c>
      <c r="E1161" s="48">
        <v>0</v>
      </c>
      <c r="F1161" s="155">
        <v>0</v>
      </c>
      <c r="G1161" s="48">
        <v>0</v>
      </c>
      <c r="H1161" s="209">
        <f t="shared" si="37"/>
        <v>2700000000</v>
      </c>
      <c r="I1161" s="118"/>
    </row>
    <row r="1162" spans="1:9" ht="24.75" x14ac:dyDescent="0.25">
      <c r="A1162" s="117"/>
      <c r="B1162" s="47">
        <v>51702100100</v>
      </c>
      <c r="C1162" s="275" t="s">
        <v>89</v>
      </c>
      <c r="D1162" s="59">
        <v>1902000000</v>
      </c>
      <c r="E1162" s="48">
        <v>0</v>
      </c>
      <c r="F1162" s="155">
        <v>0</v>
      </c>
      <c r="G1162" s="48">
        <v>0</v>
      </c>
      <c r="H1162" s="209">
        <f t="shared" si="37"/>
        <v>1902000000</v>
      </c>
      <c r="I1162" s="118"/>
    </row>
    <row r="1163" spans="1:9" ht="24.75" x14ac:dyDescent="0.25">
      <c r="A1163" s="117"/>
      <c r="B1163" s="47">
        <v>51702100200</v>
      </c>
      <c r="C1163" s="275" t="s">
        <v>90</v>
      </c>
      <c r="D1163" s="59">
        <v>800000000</v>
      </c>
      <c r="E1163" s="48">
        <v>0</v>
      </c>
      <c r="F1163" s="155">
        <v>0</v>
      </c>
      <c r="G1163" s="48">
        <v>0</v>
      </c>
      <c r="H1163" s="209">
        <f t="shared" si="37"/>
        <v>800000000</v>
      </c>
      <c r="I1163" s="118"/>
    </row>
    <row r="1164" spans="1:9" ht="24.75" x14ac:dyDescent="0.25">
      <c r="A1164" s="117"/>
      <c r="B1164" s="47">
        <v>51702100300</v>
      </c>
      <c r="C1164" s="275" t="s">
        <v>91</v>
      </c>
      <c r="D1164" s="59">
        <v>722000000</v>
      </c>
      <c r="E1164" s="48">
        <v>0</v>
      </c>
      <c r="F1164" s="155">
        <v>0</v>
      </c>
      <c r="G1164" s="48">
        <v>0</v>
      </c>
      <c r="H1164" s="209">
        <f t="shared" si="37"/>
        <v>722000000</v>
      </c>
      <c r="I1164" s="118"/>
    </row>
    <row r="1165" spans="1:9" ht="24.75" x14ac:dyDescent="0.25">
      <c r="A1165" s="117"/>
      <c r="B1165" s="47">
        <v>52102600100</v>
      </c>
      <c r="C1165" s="275" t="s">
        <v>640</v>
      </c>
      <c r="D1165" s="59">
        <v>400000000</v>
      </c>
      <c r="E1165" s="396">
        <v>399820387.30000001</v>
      </c>
      <c r="F1165" s="155">
        <v>0</v>
      </c>
      <c r="G1165" s="395">
        <v>550000000</v>
      </c>
      <c r="H1165" s="209">
        <f t="shared" si="37"/>
        <v>950000000</v>
      </c>
      <c r="I1165" s="215" t="s">
        <v>208</v>
      </c>
    </row>
    <row r="1166" spans="1:9" x14ac:dyDescent="0.25">
      <c r="A1166" s="117"/>
      <c r="B1166" s="47">
        <v>53905300100</v>
      </c>
      <c r="C1166" s="275" t="s">
        <v>641</v>
      </c>
      <c r="D1166" s="59">
        <v>60000000</v>
      </c>
      <c r="E1166" s="395">
        <v>0</v>
      </c>
      <c r="F1166" s="155">
        <v>0</v>
      </c>
      <c r="G1166" s="395">
        <v>0</v>
      </c>
      <c r="H1166" s="209">
        <f t="shared" si="37"/>
        <v>60000000</v>
      </c>
      <c r="I1166" s="118"/>
    </row>
    <row r="1167" spans="1:9" x14ac:dyDescent="0.25">
      <c r="A1167" s="629"/>
      <c r="B1167" s="630"/>
      <c r="C1167" s="119" t="s">
        <v>38</v>
      </c>
      <c r="D1167" s="562">
        <f>SUM(D1152:D1166)</f>
        <v>7561500000</v>
      </c>
      <c r="E1167" s="563">
        <f>SUM(E1152:E1166)</f>
        <v>399820387.30000001</v>
      </c>
      <c r="F1167" s="367">
        <f>SUM(F1152:F1157)</f>
        <v>0</v>
      </c>
      <c r="G1167" s="562">
        <f>SUM(G1152:G1166)</f>
        <v>550000000</v>
      </c>
      <c r="H1167" s="562">
        <f>SUM(H1152:H1166)</f>
        <v>8111500000</v>
      </c>
      <c r="I1167" s="69"/>
    </row>
    <row r="1171" spans="1:9" ht="27.75" customHeight="1" x14ac:dyDescent="0.25">
      <c r="A1171" s="628" t="s">
        <v>276</v>
      </c>
      <c r="B1171" s="628"/>
      <c r="C1171" s="628"/>
      <c r="D1171" s="628"/>
      <c r="E1171" s="628"/>
      <c r="F1171" s="628"/>
      <c r="G1171" s="628"/>
      <c r="H1171" s="628"/>
      <c r="I1171" s="628"/>
    </row>
    <row r="1172" spans="1:9" x14ac:dyDescent="0.25">
      <c r="A1172" s="628" t="s">
        <v>1176</v>
      </c>
      <c r="B1172" s="628"/>
      <c r="C1172" s="628"/>
      <c r="D1172" s="628"/>
      <c r="E1172" s="628"/>
      <c r="F1172" s="628"/>
      <c r="G1172" s="628"/>
      <c r="H1172" s="628"/>
      <c r="I1172" s="628"/>
    </row>
    <row r="1173" spans="1:9" x14ac:dyDescent="0.25">
      <c r="A1173" s="628"/>
      <c r="B1173" s="628"/>
      <c r="C1173" s="628"/>
      <c r="D1173" s="628"/>
      <c r="E1173" s="628"/>
      <c r="F1173" s="628"/>
      <c r="G1173" s="628"/>
      <c r="H1173" s="628"/>
    </row>
    <row r="1174" spans="1:9" x14ac:dyDescent="0.25">
      <c r="A1174" s="61"/>
      <c r="B1174" s="61"/>
      <c r="C1174" s="61"/>
      <c r="D1174" s="61"/>
      <c r="E1174" s="61"/>
      <c r="F1174" s="231"/>
      <c r="G1174" s="61"/>
      <c r="H1174" s="61"/>
    </row>
    <row r="1175" spans="1:9" x14ac:dyDescent="0.25">
      <c r="A1175" s="631" t="s">
        <v>141</v>
      </c>
      <c r="B1175" s="631"/>
      <c r="C1175" s="631"/>
      <c r="D1175" s="631"/>
      <c r="E1175" s="631"/>
      <c r="F1175" s="631"/>
      <c r="G1175" s="631"/>
      <c r="H1175" s="631"/>
      <c r="I1175" s="631"/>
    </row>
    <row r="1176" spans="1:9" ht="36.75" x14ac:dyDescent="0.25">
      <c r="A1176" s="46" t="s">
        <v>0</v>
      </c>
      <c r="B1176" s="65" t="s">
        <v>35</v>
      </c>
      <c r="C1176" s="65" t="s">
        <v>36</v>
      </c>
      <c r="D1176" s="65" t="s">
        <v>279</v>
      </c>
      <c r="E1176" s="65" t="s">
        <v>222</v>
      </c>
      <c r="F1176" s="65" t="s">
        <v>273</v>
      </c>
      <c r="G1176" s="66" t="s">
        <v>37</v>
      </c>
      <c r="H1176" s="66" t="s">
        <v>1175</v>
      </c>
      <c r="I1176" s="66" t="s">
        <v>209</v>
      </c>
    </row>
    <row r="1177" spans="1:9" ht="23.25" x14ac:dyDescent="0.25">
      <c r="A1177" s="117" t="s">
        <v>155</v>
      </c>
      <c r="B1177" s="120">
        <v>21010103</v>
      </c>
      <c r="C1177" s="121" t="s">
        <v>233</v>
      </c>
      <c r="D1177" s="366">
        <v>1000000000</v>
      </c>
      <c r="E1177" s="48">
        <v>0</v>
      </c>
      <c r="F1177" s="266">
        <f>'Pooled Fund SP'!H29</f>
        <v>1000000000</v>
      </c>
      <c r="G1177" s="48">
        <v>0</v>
      </c>
      <c r="H1177" s="209">
        <f t="shared" ref="H1177:H1182" si="38">D1177-F1177+G1177</f>
        <v>0</v>
      </c>
      <c r="I1177" s="215" t="s">
        <v>235</v>
      </c>
    </row>
    <row r="1178" spans="1:9" x14ac:dyDescent="0.25">
      <c r="A1178" s="117" t="s">
        <v>156</v>
      </c>
      <c r="B1178" s="120">
        <v>21020202</v>
      </c>
      <c r="C1178" s="121" t="s">
        <v>234</v>
      </c>
      <c r="D1178" s="366">
        <v>3428272800</v>
      </c>
      <c r="E1178" s="48">
        <v>0</v>
      </c>
      <c r="F1178" s="266">
        <f>'Pooled Fund SP'!H30</f>
        <v>3100000000</v>
      </c>
      <c r="G1178" s="48">
        <v>0</v>
      </c>
      <c r="H1178" s="209">
        <f t="shared" si="38"/>
        <v>328272800</v>
      </c>
      <c r="I1178" s="56" t="s">
        <v>208</v>
      </c>
    </row>
    <row r="1179" spans="1:9" x14ac:dyDescent="0.25">
      <c r="A1179" s="117" t="s">
        <v>157</v>
      </c>
      <c r="B1179" s="120">
        <v>21030101</v>
      </c>
      <c r="C1179" s="121" t="s">
        <v>210</v>
      </c>
      <c r="D1179" s="366">
        <v>2800000000</v>
      </c>
      <c r="E1179" s="48">
        <v>0</v>
      </c>
      <c r="F1179" s="266">
        <v>1000000000</v>
      </c>
      <c r="G1179" s="48">
        <v>0</v>
      </c>
      <c r="H1179" s="209">
        <f t="shared" si="38"/>
        <v>1800000000</v>
      </c>
      <c r="I1179" s="215"/>
    </row>
    <row r="1180" spans="1:9" x14ac:dyDescent="0.25">
      <c r="A1180" s="117" t="s">
        <v>20</v>
      </c>
      <c r="B1180" s="120">
        <v>21030102</v>
      </c>
      <c r="C1180" s="121" t="s">
        <v>211</v>
      </c>
      <c r="D1180" s="366">
        <v>5655173330</v>
      </c>
      <c r="E1180" s="48">
        <v>0</v>
      </c>
      <c r="F1180" s="155">
        <v>0</v>
      </c>
      <c r="G1180" s="359">
        <v>2700000000</v>
      </c>
      <c r="H1180" s="209">
        <f t="shared" si="38"/>
        <v>8355173330</v>
      </c>
      <c r="I1180" s="215" t="s">
        <v>208</v>
      </c>
    </row>
    <row r="1181" spans="1:9" ht="23.25" x14ac:dyDescent="0.25">
      <c r="A1181" s="117" t="s">
        <v>158</v>
      </c>
      <c r="B1181" s="120">
        <v>21030104</v>
      </c>
      <c r="C1181" s="121" t="s">
        <v>212</v>
      </c>
      <c r="D1181" s="366">
        <v>25000000</v>
      </c>
      <c r="E1181" s="48">
        <v>0</v>
      </c>
      <c r="F1181" s="155">
        <v>0</v>
      </c>
      <c r="G1181" s="48">
        <v>0</v>
      </c>
      <c r="H1181" s="209">
        <f t="shared" si="38"/>
        <v>25000000</v>
      </c>
      <c r="I1181" s="118"/>
    </row>
    <row r="1182" spans="1:9" ht="23.25" x14ac:dyDescent="0.25">
      <c r="A1182" s="117" t="s">
        <v>21</v>
      </c>
      <c r="B1182" s="120">
        <v>22020908</v>
      </c>
      <c r="C1182" s="121" t="s">
        <v>213</v>
      </c>
      <c r="D1182" s="366">
        <v>5251003070</v>
      </c>
      <c r="E1182" s="48">
        <v>0</v>
      </c>
      <c r="F1182" s="155">
        <v>0</v>
      </c>
      <c r="G1182" s="48">
        <v>0</v>
      </c>
      <c r="H1182" s="209">
        <f t="shared" si="38"/>
        <v>5251003070</v>
      </c>
      <c r="I1182" s="118"/>
    </row>
    <row r="1183" spans="1:9" x14ac:dyDescent="0.25">
      <c r="A1183" s="629"/>
      <c r="B1183" s="630"/>
      <c r="C1183" s="119" t="s">
        <v>38</v>
      </c>
      <c r="D1183" s="562">
        <f>SUM(D1177:D1182)</f>
        <v>18159449200</v>
      </c>
      <c r="E1183" s="216">
        <f>SUM(E1177:E1182)</f>
        <v>0</v>
      </c>
      <c r="F1183" s="252">
        <f>SUM(F1177:F1182)</f>
        <v>5100000000</v>
      </c>
      <c r="G1183" s="562">
        <f>SUM(G1177:G1182)</f>
        <v>2700000000</v>
      </c>
      <c r="H1183" s="562">
        <f>SUM(H1177:H1182)</f>
        <v>15759449200</v>
      </c>
      <c r="I1183" s="69"/>
    </row>
  </sheetData>
  <mergeCells count="106">
    <mergeCell ref="A1183:B1183"/>
    <mergeCell ref="A1175:I1175"/>
    <mergeCell ref="A1150:I1150"/>
    <mergeCell ref="A1054:I1054"/>
    <mergeCell ref="A1055:I1055"/>
    <mergeCell ref="A1056:I1056"/>
    <mergeCell ref="A935:I935"/>
    <mergeCell ref="A936:I936"/>
    <mergeCell ref="A937:I937"/>
    <mergeCell ref="A1022:I1022"/>
    <mergeCell ref="A1171:I1171"/>
    <mergeCell ref="A1172:I1172"/>
    <mergeCell ref="A1173:H1173"/>
    <mergeCell ref="A1148:H1148"/>
    <mergeCell ref="A1167:B1167"/>
    <mergeCell ref="A1084:I1084"/>
    <mergeCell ref="A851:I851"/>
    <mergeCell ref="A1146:I1146"/>
    <mergeCell ref="A1147:I1147"/>
    <mergeCell ref="A910:I910"/>
    <mergeCell ref="A908:I908"/>
    <mergeCell ref="A909:I909"/>
    <mergeCell ref="A1023:I1023"/>
    <mergeCell ref="A1024:I1024"/>
    <mergeCell ref="A788:I788"/>
    <mergeCell ref="A789:I789"/>
    <mergeCell ref="A1085:I1085"/>
    <mergeCell ref="A1086:I1086"/>
    <mergeCell ref="A1116:I1116"/>
    <mergeCell ref="A1117:I1117"/>
    <mergeCell ref="A1118:I1118"/>
    <mergeCell ref="A849:I849"/>
    <mergeCell ref="A850:I850"/>
    <mergeCell ref="A1:I1"/>
    <mergeCell ref="A2:I2"/>
    <mergeCell ref="A3:I3"/>
    <mergeCell ref="A32:I32"/>
    <mergeCell ref="A33:I33"/>
    <mergeCell ref="A34:I34"/>
    <mergeCell ref="A63:I63"/>
    <mergeCell ref="A64:I64"/>
    <mergeCell ref="A65:I65"/>
    <mergeCell ref="A253:I253"/>
    <mergeCell ref="A254:I254"/>
    <mergeCell ref="A487:I487"/>
    <mergeCell ref="A516:I516"/>
    <mergeCell ref="A221:I221"/>
    <mergeCell ref="A222:I222"/>
    <mergeCell ref="A223:I223"/>
    <mergeCell ref="A95:I95"/>
    <mergeCell ref="A96:I96"/>
    <mergeCell ref="A97:I97"/>
    <mergeCell ref="A127:I127"/>
    <mergeCell ref="A128:I128"/>
    <mergeCell ref="A129:I129"/>
    <mergeCell ref="A190:I190"/>
    <mergeCell ref="A191:I191"/>
    <mergeCell ref="A192:I192"/>
    <mergeCell ref="A351:I351"/>
    <mergeCell ref="A485:I485"/>
    <mergeCell ref="A486:I486"/>
    <mergeCell ref="A159:I159"/>
    <mergeCell ref="A160:I160"/>
    <mergeCell ref="A161:I161"/>
    <mergeCell ref="A316:I316"/>
    <mergeCell ref="A317:I317"/>
    <mergeCell ref="A382:I382"/>
    <mergeCell ref="A383:I383"/>
    <mergeCell ref="A666:I666"/>
    <mergeCell ref="A667:I667"/>
    <mergeCell ref="A668:I668"/>
    <mergeCell ref="A546:I546"/>
    <mergeCell ref="A547:I547"/>
    <mergeCell ref="A548:I548"/>
    <mergeCell ref="A456:I456"/>
    <mergeCell ref="A457:I457"/>
    <mergeCell ref="A458:I458"/>
    <mergeCell ref="A637:I637"/>
    <mergeCell ref="A638:I638"/>
    <mergeCell ref="A577:I577"/>
    <mergeCell ref="A578:I578"/>
    <mergeCell ref="A579:I579"/>
    <mergeCell ref="A255:I255"/>
    <mergeCell ref="A284:I284"/>
    <mergeCell ref="A285:I285"/>
    <mergeCell ref="A286:I286"/>
    <mergeCell ref="A787:I787"/>
    <mergeCell ref="A990:I990"/>
    <mergeCell ref="A991:I991"/>
    <mergeCell ref="A992:I992"/>
    <mergeCell ref="A727:I727"/>
    <mergeCell ref="A517:I517"/>
    <mergeCell ref="A518:I518"/>
    <mergeCell ref="A820:I820"/>
    <mergeCell ref="A818:I818"/>
    <mergeCell ref="A819:I819"/>
    <mergeCell ref="A318:I318"/>
    <mergeCell ref="A349:I349"/>
    <mergeCell ref="A350:I350"/>
    <mergeCell ref="A725:I725"/>
    <mergeCell ref="A726:I726"/>
    <mergeCell ref="A639:I639"/>
    <mergeCell ref="A755:I755"/>
    <mergeCell ref="A756:I756"/>
    <mergeCell ref="A757:I757"/>
    <mergeCell ref="A381:I381"/>
  </mergeCells>
  <pageMargins left="0.5" right="0.2" top="0.75" bottom="0.75" header="0.3" footer="0.3"/>
  <pageSetup firstPageNumber="9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>
      <selection activeCell="A2" sqref="A2:J2"/>
    </sheetView>
  </sheetViews>
  <sheetFormatPr defaultRowHeight="15" x14ac:dyDescent="0.25"/>
  <cols>
    <col min="1" max="1" width="3.140625" customWidth="1"/>
    <col min="2" max="2" width="21.28515625" customWidth="1"/>
    <col min="3" max="3" width="4.7109375" customWidth="1"/>
    <col min="4" max="4" width="13.28515625" customWidth="1"/>
    <col min="5" max="5" width="23.85546875" customWidth="1"/>
    <col min="6" max="6" width="14.85546875" bestFit="1" customWidth="1"/>
    <col min="7" max="7" width="13" customWidth="1"/>
    <col min="8" max="8" width="14.28515625" customWidth="1"/>
    <col min="9" max="9" width="13.85546875" customWidth="1"/>
    <col min="10" max="10" width="11.140625" customWidth="1"/>
    <col min="11" max="11" width="14.5703125" bestFit="1" customWidth="1"/>
  </cols>
  <sheetData>
    <row r="1" spans="1:11" x14ac:dyDescent="0.25">
      <c r="A1" s="625" t="s">
        <v>7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1" x14ac:dyDescent="0.25">
      <c r="A2" s="625" t="s">
        <v>1171</v>
      </c>
      <c r="B2" s="625"/>
      <c r="C2" s="625"/>
      <c r="D2" s="625"/>
      <c r="E2" s="625"/>
      <c r="F2" s="625"/>
      <c r="G2" s="625"/>
      <c r="H2" s="625"/>
      <c r="I2" s="625"/>
      <c r="J2" s="625"/>
    </row>
    <row r="3" spans="1:11" x14ac:dyDescent="0.25">
      <c r="A3" s="625" t="s">
        <v>32</v>
      </c>
      <c r="B3" s="625"/>
      <c r="C3" s="625"/>
      <c r="D3" s="625"/>
      <c r="E3" s="625"/>
      <c r="F3" s="625"/>
      <c r="G3" s="625"/>
      <c r="H3" s="625"/>
      <c r="I3" s="625"/>
      <c r="J3" s="625"/>
    </row>
    <row r="4" spans="1:11" x14ac:dyDescent="0.25">
      <c r="A4" s="626" t="s">
        <v>150</v>
      </c>
      <c r="B4" s="626"/>
      <c r="C4" s="626"/>
      <c r="D4" s="626"/>
      <c r="E4" s="626"/>
      <c r="F4" s="626"/>
      <c r="G4" s="626"/>
      <c r="H4" s="626"/>
      <c r="I4" s="626"/>
      <c r="J4" s="626"/>
    </row>
    <row r="5" spans="1:11" s="30" customFormat="1" ht="38.25" customHeight="1" x14ac:dyDescent="0.2">
      <c r="A5" s="90" t="s">
        <v>0</v>
      </c>
      <c r="B5" s="90" t="s">
        <v>27</v>
      </c>
      <c r="C5" s="90" t="s">
        <v>2</v>
      </c>
      <c r="D5" s="91" t="s">
        <v>17</v>
      </c>
      <c r="E5" s="90" t="s">
        <v>33</v>
      </c>
      <c r="F5" s="91" t="s">
        <v>459</v>
      </c>
      <c r="G5" s="91" t="s">
        <v>232</v>
      </c>
      <c r="H5" s="91" t="s">
        <v>29</v>
      </c>
      <c r="I5" s="145" t="s">
        <v>1177</v>
      </c>
      <c r="J5" s="90" t="s">
        <v>220</v>
      </c>
    </row>
    <row r="6" spans="1:11" s="32" customFormat="1" ht="18" customHeight="1" x14ac:dyDescent="0.25">
      <c r="A6" s="70">
        <v>1</v>
      </c>
      <c r="B6" s="70">
        <v>2</v>
      </c>
      <c r="C6" s="92">
        <v>3</v>
      </c>
      <c r="D6" s="132" t="s">
        <v>20</v>
      </c>
      <c r="E6" s="125">
        <v>5</v>
      </c>
      <c r="F6" s="133">
        <v>6</v>
      </c>
      <c r="G6" s="133"/>
      <c r="H6" s="134">
        <v>8</v>
      </c>
      <c r="I6" s="146" t="s">
        <v>30</v>
      </c>
      <c r="J6" s="31">
        <v>10</v>
      </c>
    </row>
    <row r="7" spans="1:11" s="34" customFormat="1" ht="36" customHeight="1" x14ac:dyDescent="0.2">
      <c r="A7" s="114">
        <v>1</v>
      </c>
      <c r="B7" s="87" t="s">
        <v>89</v>
      </c>
      <c r="C7" s="114"/>
      <c r="D7" s="197" t="s">
        <v>472</v>
      </c>
      <c r="E7" s="83" t="s">
        <v>473</v>
      </c>
      <c r="F7" s="127">
        <v>85000000</v>
      </c>
      <c r="G7" s="127">
        <v>0</v>
      </c>
      <c r="H7" s="127">
        <v>70000000</v>
      </c>
      <c r="I7" s="147">
        <f t="shared" ref="I7:I28" si="0">F7-H7</f>
        <v>15000000</v>
      </c>
      <c r="J7" s="112"/>
      <c r="K7" s="52"/>
    </row>
    <row r="8" spans="1:11" s="34" customFormat="1" ht="24.75" customHeight="1" thickBot="1" x14ac:dyDescent="0.25">
      <c r="A8" s="306"/>
      <c r="B8" s="270"/>
      <c r="C8" s="279"/>
      <c r="D8" s="211" t="s">
        <v>474</v>
      </c>
      <c r="E8" s="282" t="s">
        <v>475</v>
      </c>
      <c r="F8" s="280">
        <v>80000000</v>
      </c>
      <c r="G8" s="280"/>
      <c r="H8" s="280">
        <v>70000000</v>
      </c>
      <c r="I8" s="147">
        <f t="shared" si="0"/>
        <v>10000000</v>
      </c>
      <c r="J8" s="281"/>
      <c r="K8" s="52"/>
    </row>
    <row r="9" spans="1:11" s="34" customFormat="1" ht="31.5" customHeight="1" thickBot="1" x14ac:dyDescent="0.3">
      <c r="A9" s="129"/>
      <c r="B9" s="141"/>
      <c r="C9" s="142"/>
      <c r="D9" s="143"/>
      <c r="E9" s="217" t="s">
        <v>471</v>
      </c>
      <c r="F9" s="149">
        <f t="shared" ref="F9:H9" si="1">SUM(F7:F8)</f>
        <v>165000000</v>
      </c>
      <c r="G9" s="149">
        <f t="shared" si="1"/>
        <v>0</v>
      </c>
      <c r="H9" s="149">
        <f t="shared" si="1"/>
        <v>140000000</v>
      </c>
      <c r="I9" s="149">
        <f>SUM(I7:I8)</f>
        <v>25000000</v>
      </c>
      <c r="J9" s="113"/>
      <c r="K9" s="52"/>
    </row>
    <row r="10" spans="1:11" s="34" customFormat="1" ht="7.5" customHeight="1" x14ac:dyDescent="0.25">
      <c r="A10" s="136"/>
      <c r="B10" s="137"/>
      <c r="C10" s="138"/>
      <c r="D10" s="139"/>
      <c r="E10" s="136"/>
      <c r="F10" s="140"/>
      <c r="G10" s="140"/>
      <c r="H10" s="140"/>
      <c r="I10" s="150"/>
      <c r="J10" s="116"/>
      <c r="K10" s="52"/>
    </row>
    <row r="11" spans="1:11" s="34" customFormat="1" ht="45.75" customHeight="1" thickBot="1" x14ac:dyDescent="0.25">
      <c r="A11" s="115">
        <v>2</v>
      </c>
      <c r="B11" s="135" t="s">
        <v>257</v>
      </c>
      <c r="C11" s="131"/>
      <c r="D11" s="286" t="s">
        <v>476</v>
      </c>
      <c r="E11" s="84" t="s">
        <v>477</v>
      </c>
      <c r="F11" s="79">
        <v>74500000</v>
      </c>
      <c r="G11" s="79">
        <v>0</v>
      </c>
      <c r="H11" s="79">
        <v>60000000</v>
      </c>
      <c r="I11" s="287">
        <f t="shared" si="0"/>
        <v>14500000</v>
      </c>
      <c r="J11" s="123"/>
      <c r="K11" s="52"/>
    </row>
    <row r="12" spans="1:11" s="34" customFormat="1" ht="37.5" customHeight="1" thickBot="1" x14ac:dyDescent="0.3">
      <c r="A12" s="129"/>
      <c r="B12" s="141"/>
      <c r="C12" s="142"/>
      <c r="D12" s="288"/>
      <c r="E12" s="86" t="s">
        <v>465</v>
      </c>
      <c r="F12" s="82">
        <f t="shared" ref="F12:H12" si="2">SUM(F11)</f>
        <v>74500000</v>
      </c>
      <c r="G12" s="82">
        <f t="shared" si="2"/>
        <v>0</v>
      </c>
      <c r="H12" s="82">
        <f t="shared" si="2"/>
        <v>60000000</v>
      </c>
      <c r="I12" s="82">
        <f>SUM(I11)</f>
        <v>14500000</v>
      </c>
      <c r="J12" s="113"/>
      <c r="K12" s="52"/>
    </row>
    <row r="13" spans="1:11" s="34" customFormat="1" ht="6.75" customHeight="1" x14ac:dyDescent="0.25">
      <c r="A13" s="136"/>
      <c r="B13" s="137"/>
      <c r="C13" s="138"/>
      <c r="D13" s="283"/>
      <c r="E13" s="136"/>
      <c r="F13" s="140"/>
      <c r="G13" s="140"/>
      <c r="H13" s="140"/>
      <c r="I13" s="150"/>
      <c r="J13" s="116"/>
      <c r="K13" s="52"/>
    </row>
    <row r="14" spans="1:11" s="34" customFormat="1" ht="24.75" customHeight="1" x14ac:dyDescent="0.2">
      <c r="A14" s="114">
        <v>3</v>
      </c>
      <c r="B14" s="87" t="s">
        <v>63</v>
      </c>
      <c r="C14" s="126"/>
      <c r="D14" s="365" t="s">
        <v>478</v>
      </c>
      <c r="E14" s="83" t="s">
        <v>479</v>
      </c>
      <c r="F14" s="127">
        <v>100000000</v>
      </c>
      <c r="G14" s="127">
        <v>0</v>
      </c>
      <c r="H14" s="127">
        <v>80000000</v>
      </c>
      <c r="I14" s="284">
        <f t="shared" si="0"/>
        <v>20000000</v>
      </c>
      <c r="J14" s="112"/>
      <c r="K14" s="52"/>
    </row>
    <row r="15" spans="1:11" s="34" customFormat="1" ht="24.75" customHeight="1" thickBot="1" x14ac:dyDescent="0.25">
      <c r="A15" s="115"/>
      <c r="B15" s="135"/>
      <c r="C15" s="131"/>
      <c r="D15" s="565" t="s">
        <v>609</v>
      </c>
      <c r="E15" s="566" t="s">
        <v>608</v>
      </c>
      <c r="F15" s="284">
        <v>6000000</v>
      </c>
      <c r="G15" s="430">
        <v>0</v>
      </c>
      <c r="H15" s="430">
        <v>3500000</v>
      </c>
      <c r="I15" s="284">
        <f t="shared" si="0"/>
        <v>2500000</v>
      </c>
      <c r="J15" s="123"/>
      <c r="K15" s="52"/>
    </row>
    <row r="16" spans="1:11" s="34" customFormat="1" ht="27" customHeight="1" thickBot="1" x14ac:dyDescent="0.3">
      <c r="A16" s="129"/>
      <c r="B16" s="141"/>
      <c r="C16" s="142"/>
      <c r="D16" s="288"/>
      <c r="E16" s="86" t="s">
        <v>398</v>
      </c>
      <c r="F16" s="82">
        <f>SUM(F14:F15)</f>
        <v>106000000</v>
      </c>
      <c r="G16" s="82">
        <f t="shared" ref="G16:I16" si="3">SUM(G14:G15)</f>
        <v>0</v>
      </c>
      <c r="H16" s="82">
        <f t="shared" si="3"/>
        <v>83500000</v>
      </c>
      <c r="I16" s="82">
        <f t="shared" si="3"/>
        <v>22500000</v>
      </c>
      <c r="J16" s="113"/>
      <c r="K16" s="52"/>
    </row>
    <row r="17" spans="1:11" s="34" customFormat="1" ht="6.75" customHeight="1" x14ac:dyDescent="0.25">
      <c r="A17" s="136"/>
      <c r="B17" s="137"/>
      <c r="C17" s="138"/>
      <c r="D17" s="283"/>
      <c r="E17" s="136"/>
      <c r="F17" s="140"/>
      <c r="G17" s="140"/>
      <c r="H17" s="140"/>
      <c r="I17" s="150"/>
      <c r="J17" s="116"/>
      <c r="K17" s="52"/>
    </row>
    <row r="18" spans="1:11" s="34" customFormat="1" ht="34.5" customHeight="1" thickBot="1" x14ac:dyDescent="0.25">
      <c r="A18" s="279">
        <v>4</v>
      </c>
      <c r="B18" s="567" t="s">
        <v>256</v>
      </c>
      <c r="C18" s="568"/>
      <c r="D18" s="569" t="s">
        <v>480</v>
      </c>
      <c r="E18" s="570" t="s">
        <v>481</v>
      </c>
      <c r="F18" s="571">
        <v>660000000</v>
      </c>
      <c r="G18" s="571">
        <v>0</v>
      </c>
      <c r="H18" s="571">
        <f>500000000-95429016</f>
        <v>404570984</v>
      </c>
      <c r="I18" s="572">
        <f t="shared" si="0"/>
        <v>255429016</v>
      </c>
      <c r="J18" s="573"/>
      <c r="K18" s="52"/>
    </row>
    <row r="19" spans="1:11" s="34" customFormat="1" ht="36" customHeight="1" thickBot="1" x14ac:dyDescent="0.3">
      <c r="A19" s="129"/>
      <c r="B19" s="141"/>
      <c r="C19" s="142"/>
      <c r="D19" s="288"/>
      <c r="E19" s="86" t="s">
        <v>482</v>
      </c>
      <c r="F19" s="82">
        <f t="shared" ref="F19:H19" si="4">SUM(F18)</f>
        <v>660000000</v>
      </c>
      <c r="G19" s="82">
        <f t="shared" si="4"/>
        <v>0</v>
      </c>
      <c r="H19" s="82">
        <f t="shared" si="4"/>
        <v>404570984</v>
      </c>
      <c r="I19" s="82">
        <f>SUM(I18)</f>
        <v>255429016</v>
      </c>
      <c r="J19" s="113"/>
      <c r="K19" s="52"/>
    </row>
    <row r="20" spans="1:11" s="34" customFormat="1" ht="6.75" customHeight="1" x14ac:dyDescent="0.25">
      <c r="A20" s="136"/>
      <c r="B20" s="137"/>
      <c r="C20" s="138"/>
      <c r="D20" s="283"/>
      <c r="E20" s="136"/>
      <c r="F20" s="140"/>
      <c r="G20" s="140"/>
      <c r="H20" s="140"/>
      <c r="I20" s="150"/>
      <c r="J20" s="116"/>
      <c r="K20" s="52"/>
    </row>
    <row r="21" spans="1:11" s="34" customFormat="1" ht="24.75" customHeight="1" thickBot="1" x14ac:dyDescent="0.25">
      <c r="A21" s="279">
        <v>5</v>
      </c>
      <c r="B21" s="135" t="s">
        <v>72</v>
      </c>
      <c r="C21" s="131"/>
      <c r="D21" s="292" t="s">
        <v>484</v>
      </c>
      <c r="E21" s="291" t="s">
        <v>485</v>
      </c>
      <c r="F21" s="79">
        <v>60000000</v>
      </c>
      <c r="G21" s="79">
        <v>800000</v>
      </c>
      <c r="H21" s="79">
        <v>50000000</v>
      </c>
      <c r="I21" s="287">
        <f t="shared" si="0"/>
        <v>10000000</v>
      </c>
      <c r="J21" s="123"/>
      <c r="K21" s="52"/>
    </row>
    <row r="22" spans="1:11" s="34" customFormat="1" ht="24.75" customHeight="1" thickBot="1" x14ac:dyDescent="0.3">
      <c r="A22" s="129"/>
      <c r="B22" s="141"/>
      <c r="C22" s="142"/>
      <c r="D22" s="295"/>
      <c r="E22" s="86" t="s">
        <v>483</v>
      </c>
      <c r="F22" s="82">
        <f t="shared" ref="F22:H22" si="5">SUM(F21)</f>
        <v>60000000</v>
      </c>
      <c r="G22" s="82">
        <f t="shared" si="5"/>
        <v>800000</v>
      </c>
      <c r="H22" s="82">
        <f t="shared" si="5"/>
        <v>50000000</v>
      </c>
      <c r="I22" s="82">
        <f>SUM(I21)</f>
        <v>10000000</v>
      </c>
      <c r="J22" s="113"/>
      <c r="K22" s="52"/>
    </row>
    <row r="23" spans="1:11" s="34" customFormat="1" ht="34.5" customHeight="1" x14ac:dyDescent="0.2">
      <c r="A23" s="114">
        <v>6</v>
      </c>
      <c r="B23" s="87" t="s">
        <v>253</v>
      </c>
      <c r="C23" s="126"/>
      <c r="D23" s="198" t="s">
        <v>486</v>
      </c>
      <c r="E23" s="83" t="s">
        <v>576</v>
      </c>
      <c r="F23" s="127">
        <v>1000000000</v>
      </c>
      <c r="G23" s="127">
        <v>290973566.39999998</v>
      </c>
      <c r="H23" s="127">
        <v>400000000</v>
      </c>
      <c r="I23" s="284">
        <f t="shared" si="0"/>
        <v>600000000</v>
      </c>
      <c r="J23" s="112"/>
      <c r="K23" s="52"/>
    </row>
    <row r="24" spans="1:11" s="34" customFormat="1" ht="20.100000000000001" customHeight="1" x14ac:dyDescent="0.25">
      <c r="A24" s="114"/>
      <c r="B24" s="285"/>
      <c r="C24" s="126"/>
      <c r="D24" s="198" t="s">
        <v>487</v>
      </c>
      <c r="E24" s="56" t="s">
        <v>488</v>
      </c>
      <c r="F24" s="127">
        <v>300000000</v>
      </c>
      <c r="G24" s="127">
        <v>140277900.31999999</v>
      </c>
      <c r="H24" s="127">
        <v>60000000</v>
      </c>
      <c r="I24" s="284">
        <f t="shared" si="0"/>
        <v>240000000</v>
      </c>
      <c r="J24" s="112"/>
      <c r="K24" s="52"/>
    </row>
    <row r="25" spans="1:11" s="34" customFormat="1" ht="35.25" customHeight="1" thickBot="1" x14ac:dyDescent="0.3">
      <c r="A25" s="115"/>
      <c r="B25" s="296"/>
      <c r="C25" s="131"/>
      <c r="D25" s="292" t="s">
        <v>489</v>
      </c>
      <c r="E25" s="84" t="s">
        <v>490</v>
      </c>
      <c r="F25" s="79">
        <v>370000000</v>
      </c>
      <c r="G25" s="79">
        <v>8769600</v>
      </c>
      <c r="H25" s="79">
        <v>200000000</v>
      </c>
      <c r="I25" s="287">
        <f t="shared" si="0"/>
        <v>170000000</v>
      </c>
      <c r="J25" s="123"/>
      <c r="K25" s="52"/>
    </row>
    <row r="26" spans="1:11" s="34" customFormat="1" ht="34.5" customHeight="1" thickBot="1" x14ac:dyDescent="0.3">
      <c r="A26" s="129"/>
      <c r="B26" s="141"/>
      <c r="C26" s="142"/>
      <c r="D26" s="295"/>
      <c r="E26" s="86" t="s">
        <v>438</v>
      </c>
      <c r="F26" s="82">
        <f t="shared" ref="F26:H26" si="6">SUM(F23:F25)</f>
        <v>1670000000</v>
      </c>
      <c r="G26" s="82">
        <f t="shared" si="6"/>
        <v>440021066.71999997</v>
      </c>
      <c r="H26" s="82">
        <f t="shared" si="6"/>
        <v>660000000</v>
      </c>
      <c r="I26" s="82">
        <f>SUM(I23:I25)</f>
        <v>1010000000</v>
      </c>
      <c r="J26" s="113"/>
      <c r="K26" s="52"/>
    </row>
    <row r="27" spans="1:11" s="34" customFormat="1" ht="6" customHeight="1" x14ac:dyDescent="0.25">
      <c r="A27" s="136"/>
      <c r="B27" s="137"/>
      <c r="C27" s="138"/>
      <c r="D27" s="293"/>
      <c r="E27" s="294"/>
      <c r="F27" s="140"/>
      <c r="G27" s="140"/>
      <c r="H27" s="140"/>
      <c r="I27" s="150"/>
      <c r="J27" s="116"/>
      <c r="K27" s="52"/>
    </row>
    <row r="28" spans="1:11" s="34" customFormat="1" ht="33.75" customHeight="1" thickBot="1" x14ac:dyDescent="0.25">
      <c r="A28" s="279">
        <v>7</v>
      </c>
      <c r="B28" s="270" t="s">
        <v>163</v>
      </c>
      <c r="C28" s="289"/>
      <c r="D28" s="292" t="s">
        <v>492</v>
      </c>
      <c r="E28" s="85" t="s">
        <v>491</v>
      </c>
      <c r="F28" s="280">
        <v>142000000</v>
      </c>
      <c r="G28" s="280">
        <v>2330000</v>
      </c>
      <c r="H28" s="280">
        <v>100000000</v>
      </c>
      <c r="I28" s="287">
        <f t="shared" si="0"/>
        <v>42000000</v>
      </c>
      <c r="J28" s="290"/>
      <c r="K28" s="52"/>
    </row>
    <row r="29" spans="1:11" s="34" customFormat="1" ht="34.5" customHeight="1" thickBot="1" x14ac:dyDescent="0.3">
      <c r="A29" s="129"/>
      <c r="B29" s="141"/>
      <c r="C29" s="142"/>
      <c r="D29" s="295"/>
      <c r="E29" s="297" t="s">
        <v>493</v>
      </c>
      <c r="F29" s="82">
        <f t="shared" ref="F29:H29" si="7">SUM(F28)</f>
        <v>142000000</v>
      </c>
      <c r="G29" s="82">
        <f t="shared" si="7"/>
        <v>2330000</v>
      </c>
      <c r="H29" s="82">
        <f t="shared" si="7"/>
        <v>100000000</v>
      </c>
      <c r="I29" s="82">
        <f>SUM(I28)</f>
        <v>42000000</v>
      </c>
      <c r="J29" s="113"/>
      <c r="K29" s="52"/>
    </row>
    <row r="30" spans="1:11" s="34" customFormat="1" ht="6.75" customHeight="1" x14ac:dyDescent="0.25">
      <c r="A30" s="136"/>
      <c r="B30" s="137"/>
      <c r="C30" s="138"/>
      <c r="D30" s="293"/>
      <c r="E30" s="294"/>
      <c r="F30" s="140"/>
      <c r="G30" s="140"/>
      <c r="H30" s="140"/>
      <c r="I30" s="150"/>
      <c r="J30" s="116"/>
      <c r="K30" s="52"/>
    </row>
    <row r="31" spans="1:11" s="34" customFormat="1" ht="34.5" customHeight="1" x14ac:dyDescent="0.2">
      <c r="A31" s="114">
        <v>8</v>
      </c>
      <c r="B31" s="87" t="s">
        <v>78</v>
      </c>
      <c r="C31" s="114"/>
      <c r="D31" s="198" t="s">
        <v>494</v>
      </c>
      <c r="E31" s="83" t="s">
        <v>495</v>
      </c>
      <c r="F31" s="127">
        <v>852000000</v>
      </c>
      <c r="G31" s="127">
        <v>13973513.390000001</v>
      </c>
      <c r="H31" s="127">
        <v>500000000</v>
      </c>
      <c r="I31" s="147">
        <f t="shared" ref="I31:I32" si="8">F31-H31</f>
        <v>352000000</v>
      </c>
      <c r="J31" s="116"/>
      <c r="K31" s="52"/>
    </row>
    <row r="32" spans="1:11" s="34" customFormat="1" ht="33.75" customHeight="1" thickBot="1" x14ac:dyDescent="0.25">
      <c r="A32" s="115"/>
      <c r="B32" s="135"/>
      <c r="C32" s="131"/>
      <c r="D32" s="192" t="s">
        <v>496</v>
      </c>
      <c r="E32" s="84" t="s">
        <v>218</v>
      </c>
      <c r="F32" s="79">
        <v>50000000</v>
      </c>
      <c r="G32" s="298">
        <v>0</v>
      </c>
      <c r="H32" s="79">
        <v>40000000</v>
      </c>
      <c r="I32" s="148">
        <f t="shared" si="8"/>
        <v>10000000</v>
      </c>
      <c r="J32" s="290"/>
      <c r="K32" s="52"/>
    </row>
    <row r="33" spans="1:11" s="34" customFormat="1" ht="22.5" customHeight="1" thickBot="1" x14ac:dyDescent="0.25">
      <c r="A33" s="129"/>
      <c r="B33" s="86"/>
      <c r="C33" s="142"/>
      <c r="D33" s="299"/>
      <c r="E33" s="217" t="s">
        <v>219</v>
      </c>
      <c r="F33" s="151">
        <f t="shared" ref="F33:H33" si="9">SUM(F31:F32)</f>
        <v>902000000</v>
      </c>
      <c r="G33" s="151">
        <f t="shared" si="9"/>
        <v>13973513.390000001</v>
      </c>
      <c r="H33" s="151">
        <f t="shared" si="9"/>
        <v>540000000</v>
      </c>
      <c r="I33" s="151">
        <f>SUM(I31:I32)</f>
        <v>362000000</v>
      </c>
      <c r="J33" s="113"/>
      <c r="K33" s="52"/>
    </row>
    <row r="34" spans="1:11" s="34" customFormat="1" ht="6.75" customHeight="1" x14ac:dyDescent="0.25">
      <c r="A34" s="136"/>
      <c r="B34" s="137"/>
      <c r="C34" s="138"/>
      <c r="D34" s="283"/>
      <c r="E34" s="136"/>
      <c r="F34" s="140"/>
      <c r="G34" s="140"/>
      <c r="H34" s="140"/>
      <c r="I34" s="150"/>
      <c r="J34" s="116"/>
      <c r="K34" s="52"/>
    </row>
    <row r="35" spans="1:11" s="34" customFormat="1" ht="35.25" customHeight="1" thickBot="1" x14ac:dyDescent="0.25">
      <c r="A35" s="279">
        <v>9</v>
      </c>
      <c r="B35" s="269" t="s">
        <v>94</v>
      </c>
      <c r="C35" s="289"/>
      <c r="D35" s="192" t="s">
        <v>497</v>
      </c>
      <c r="E35" s="85" t="s">
        <v>498</v>
      </c>
      <c r="F35" s="280">
        <v>100000000</v>
      </c>
      <c r="G35" s="280">
        <v>0</v>
      </c>
      <c r="H35" s="280">
        <v>70000000</v>
      </c>
      <c r="I35" s="148">
        <f t="shared" ref="I35" si="10">F35-H35</f>
        <v>30000000</v>
      </c>
      <c r="J35" s="290"/>
      <c r="K35" s="52"/>
    </row>
    <row r="36" spans="1:11" s="34" customFormat="1" ht="20.100000000000001" customHeight="1" thickBot="1" x14ac:dyDescent="0.3">
      <c r="A36" s="129"/>
      <c r="B36" s="141"/>
      <c r="C36" s="142"/>
      <c r="D36" s="288"/>
      <c r="E36" s="300" t="s">
        <v>215</v>
      </c>
      <c r="F36" s="151">
        <f t="shared" ref="F36:G36" si="11">SUM(F35)</f>
        <v>100000000</v>
      </c>
      <c r="G36" s="151">
        <f t="shared" si="11"/>
        <v>0</v>
      </c>
      <c r="H36" s="151">
        <f>SUM(H35)</f>
        <v>70000000</v>
      </c>
      <c r="I36" s="151">
        <f>SUM(I35)</f>
        <v>30000000</v>
      </c>
      <c r="J36" s="113"/>
      <c r="K36" s="52"/>
    </row>
    <row r="37" spans="1:11" s="34" customFormat="1" ht="6" customHeight="1" x14ac:dyDescent="0.25">
      <c r="A37" s="136"/>
      <c r="B37" s="137"/>
      <c r="C37" s="138"/>
      <c r="D37" s="283"/>
      <c r="E37" s="136"/>
      <c r="F37" s="140"/>
      <c r="G37" s="140"/>
      <c r="H37" s="140"/>
      <c r="I37" s="150"/>
      <c r="J37" s="116"/>
      <c r="K37" s="52"/>
    </row>
    <row r="38" spans="1:11" s="34" customFormat="1" ht="46.5" customHeight="1" x14ac:dyDescent="0.2">
      <c r="A38" s="114">
        <v>10</v>
      </c>
      <c r="B38" s="87" t="s">
        <v>76</v>
      </c>
      <c r="C38" s="126"/>
      <c r="D38" s="197" t="s">
        <v>499</v>
      </c>
      <c r="E38" s="83" t="s">
        <v>500</v>
      </c>
      <c r="F38" s="127">
        <v>50000000</v>
      </c>
      <c r="G38" s="127">
        <v>0</v>
      </c>
      <c r="H38" s="127">
        <v>40000000</v>
      </c>
      <c r="I38" s="148">
        <f t="shared" ref="I38:I39" si="12">F38-H38</f>
        <v>10000000</v>
      </c>
      <c r="J38" s="116"/>
      <c r="K38" s="52"/>
    </row>
    <row r="39" spans="1:11" s="34" customFormat="1" ht="26.25" customHeight="1" thickBot="1" x14ac:dyDescent="0.3">
      <c r="A39" s="115"/>
      <c r="B39" s="296"/>
      <c r="C39" s="131"/>
      <c r="D39" s="192" t="s">
        <v>501</v>
      </c>
      <c r="E39" s="84" t="s">
        <v>502</v>
      </c>
      <c r="F39" s="79">
        <v>150000000</v>
      </c>
      <c r="G39" s="79">
        <v>0</v>
      </c>
      <c r="H39" s="79">
        <v>120000000</v>
      </c>
      <c r="I39" s="148">
        <f t="shared" si="12"/>
        <v>30000000</v>
      </c>
      <c r="J39" s="290"/>
      <c r="K39" s="52"/>
    </row>
    <row r="40" spans="1:11" s="34" customFormat="1" ht="34.5" customHeight="1" thickBot="1" x14ac:dyDescent="0.3">
      <c r="A40" s="129"/>
      <c r="B40" s="141"/>
      <c r="C40" s="142"/>
      <c r="D40" s="288"/>
      <c r="E40" s="86" t="s">
        <v>503</v>
      </c>
      <c r="F40" s="82">
        <f t="shared" ref="F40:H40" si="13">SUM(F38:F39)</f>
        <v>200000000</v>
      </c>
      <c r="G40" s="82">
        <f t="shared" si="13"/>
        <v>0</v>
      </c>
      <c r="H40" s="82">
        <f t="shared" si="13"/>
        <v>160000000</v>
      </c>
      <c r="I40" s="82">
        <f>SUM(I38:I39)</f>
        <v>40000000</v>
      </c>
      <c r="J40" s="113"/>
      <c r="K40" s="52"/>
    </row>
    <row r="41" spans="1:11" s="34" customFormat="1" ht="44.25" customHeight="1" x14ac:dyDescent="0.2">
      <c r="A41" s="114">
        <v>11</v>
      </c>
      <c r="B41" s="87" t="s">
        <v>504</v>
      </c>
      <c r="C41" s="126"/>
      <c r="D41" s="197" t="s">
        <v>505</v>
      </c>
      <c r="E41" s="83" t="s">
        <v>506</v>
      </c>
      <c r="F41" s="127">
        <v>500000000</v>
      </c>
      <c r="G41" s="127">
        <v>579500</v>
      </c>
      <c r="H41" s="127">
        <v>300000000</v>
      </c>
      <c r="I41" s="284">
        <f t="shared" ref="I41:I43" si="14">F41-H41</f>
        <v>200000000</v>
      </c>
      <c r="J41" s="112"/>
      <c r="K41" s="52"/>
    </row>
    <row r="42" spans="1:11" s="34" customFormat="1" ht="20.100000000000001" customHeight="1" x14ac:dyDescent="0.25">
      <c r="A42" s="114"/>
      <c r="B42" s="285"/>
      <c r="C42" s="126"/>
      <c r="D42" s="197" t="s">
        <v>507</v>
      </c>
      <c r="E42" s="56" t="s">
        <v>508</v>
      </c>
      <c r="F42" s="127">
        <v>1500000000</v>
      </c>
      <c r="G42" s="127">
        <v>5422127.4500000002</v>
      </c>
      <c r="H42" s="127">
        <v>700000000</v>
      </c>
      <c r="I42" s="284">
        <f t="shared" si="14"/>
        <v>800000000</v>
      </c>
      <c r="J42" s="112"/>
      <c r="K42" s="52"/>
    </row>
    <row r="43" spans="1:11" s="34" customFormat="1" ht="36" customHeight="1" thickBot="1" x14ac:dyDescent="0.3">
      <c r="A43" s="115"/>
      <c r="B43" s="296"/>
      <c r="C43" s="131"/>
      <c r="D43" s="192" t="s">
        <v>509</v>
      </c>
      <c r="E43" s="84" t="s">
        <v>510</v>
      </c>
      <c r="F43" s="79">
        <v>500000000</v>
      </c>
      <c r="G43" s="79">
        <v>1830000</v>
      </c>
      <c r="H43" s="79">
        <v>300000000</v>
      </c>
      <c r="I43" s="287">
        <f t="shared" si="14"/>
        <v>200000000</v>
      </c>
      <c r="J43" s="123"/>
      <c r="K43" s="52"/>
    </row>
    <row r="44" spans="1:11" s="34" customFormat="1" ht="36.75" customHeight="1" thickBot="1" x14ac:dyDescent="0.3">
      <c r="A44" s="129"/>
      <c r="B44" s="141"/>
      <c r="C44" s="142"/>
      <c r="D44" s="288"/>
      <c r="E44" s="86" t="s">
        <v>513</v>
      </c>
      <c r="F44" s="82">
        <f t="shared" ref="F44:H44" si="15">SUM(F41:F43)</f>
        <v>2500000000</v>
      </c>
      <c r="G44" s="82">
        <f t="shared" si="15"/>
        <v>7831627.4500000002</v>
      </c>
      <c r="H44" s="82">
        <f t="shared" si="15"/>
        <v>1300000000</v>
      </c>
      <c r="I44" s="82">
        <f>SUM(I41:I43)</f>
        <v>1200000000</v>
      </c>
      <c r="J44" s="113"/>
      <c r="K44" s="52"/>
    </row>
    <row r="45" spans="1:11" s="34" customFormat="1" ht="7.5" customHeight="1" x14ac:dyDescent="0.25">
      <c r="A45" s="136"/>
      <c r="B45" s="137"/>
      <c r="C45" s="138"/>
      <c r="D45" s="283"/>
      <c r="E45" s="136"/>
      <c r="F45" s="140"/>
      <c r="G45" s="140"/>
      <c r="H45" s="140"/>
      <c r="I45" s="150"/>
      <c r="J45" s="116"/>
      <c r="K45" s="52"/>
    </row>
    <row r="46" spans="1:11" s="34" customFormat="1" ht="36.75" customHeight="1" thickBot="1" x14ac:dyDescent="0.25">
      <c r="A46" s="115">
        <v>12</v>
      </c>
      <c r="B46" s="135" t="s">
        <v>75</v>
      </c>
      <c r="C46" s="131"/>
      <c r="D46" s="192" t="s">
        <v>511</v>
      </c>
      <c r="E46" s="84" t="s">
        <v>512</v>
      </c>
      <c r="F46" s="79">
        <v>787611360</v>
      </c>
      <c r="G46" s="79">
        <v>7876936.2199999997</v>
      </c>
      <c r="H46" s="79">
        <v>500000000</v>
      </c>
      <c r="I46" s="287">
        <f t="shared" ref="I46" si="16">F46-H46</f>
        <v>287611360</v>
      </c>
      <c r="J46" s="123"/>
      <c r="K46" s="52"/>
    </row>
    <row r="47" spans="1:11" s="34" customFormat="1" ht="25.5" customHeight="1" thickBot="1" x14ac:dyDescent="0.3">
      <c r="A47" s="129"/>
      <c r="B47" s="141"/>
      <c r="C47" s="142"/>
      <c r="D47" s="288"/>
      <c r="E47" s="86" t="s">
        <v>514</v>
      </c>
      <c r="F47" s="82">
        <f t="shared" ref="F47:H47" si="17">SUM(F46)</f>
        <v>787611360</v>
      </c>
      <c r="G47" s="82">
        <f t="shared" si="17"/>
        <v>7876936.2199999997</v>
      </c>
      <c r="H47" s="82">
        <f t="shared" si="17"/>
        <v>500000000</v>
      </c>
      <c r="I47" s="82">
        <f>SUM(I46)</f>
        <v>287611360</v>
      </c>
      <c r="J47" s="113"/>
      <c r="K47" s="52"/>
    </row>
    <row r="48" spans="1:11" s="34" customFormat="1" ht="8.25" customHeight="1" x14ac:dyDescent="0.25">
      <c r="A48" s="136"/>
      <c r="B48" s="137"/>
      <c r="C48" s="138"/>
      <c r="D48" s="283"/>
      <c r="E48" s="136"/>
      <c r="F48" s="140"/>
      <c r="G48" s="140"/>
      <c r="H48" s="140"/>
      <c r="I48" s="150"/>
      <c r="J48" s="116"/>
      <c r="K48" s="52"/>
    </row>
    <row r="49" spans="1:11" s="34" customFormat="1" ht="26.25" customHeight="1" thickBot="1" x14ac:dyDescent="0.25">
      <c r="A49" s="279">
        <v>13</v>
      </c>
      <c r="B49" s="270" t="s">
        <v>99</v>
      </c>
      <c r="C49" s="289"/>
      <c r="D49" s="192" t="s">
        <v>515</v>
      </c>
      <c r="E49" s="85" t="s">
        <v>516</v>
      </c>
      <c r="F49" s="280">
        <v>59260000</v>
      </c>
      <c r="G49" s="280">
        <v>0</v>
      </c>
      <c r="H49" s="280">
        <v>30000000</v>
      </c>
      <c r="I49" s="287">
        <f t="shared" ref="I49" si="18">F49-H49</f>
        <v>29260000</v>
      </c>
      <c r="J49" s="290"/>
      <c r="K49" s="52"/>
    </row>
    <row r="50" spans="1:11" s="34" customFormat="1" ht="26.25" customHeight="1" thickBot="1" x14ac:dyDescent="0.3">
      <c r="A50" s="129"/>
      <c r="B50" s="141"/>
      <c r="C50" s="142"/>
      <c r="D50" s="288"/>
      <c r="E50" s="297" t="s">
        <v>517</v>
      </c>
      <c r="F50" s="151">
        <f t="shared" ref="F50:H50" si="19">SUM(F49)</f>
        <v>59260000</v>
      </c>
      <c r="G50" s="151">
        <f t="shared" si="19"/>
        <v>0</v>
      </c>
      <c r="H50" s="151">
        <f t="shared" si="19"/>
        <v>30000000</v>
      </c>
      <c r="I50" s="151">
        <f>SUM(I49)</f>
        <v>29260000</v>
      </c>
      <c r="J50" s="113"/>
      <c r="K50" s="52"/>
    </row>
    <row r="51" spans="1:11" s="34" customFormat="1" ht="7.5" customHeight="1" x14ac:dyDescent="0.25">
      <c r="A51" s="136"/>
      <c r="B51" s="137"/>
      <c r="C51" s="138"/>
      <c r="D51" s="283"/>
      <c r="E51" s="136"/>
      <c r="F51" s="140"/>
      <c r="G51" s="140"/>
      <c r="H51" s="140"/>
      <c r="I51" s="150"/>
      <c r="J51" s="116"/>
      <c r="K51" s="52"/>
    </row>
    <row r="52" spans="1:11" s="34" customFormat="1" ht="42.75" customHeight="1" x14ac:dyDescent="0.2">
      <c r="A52" s="114">
        <v>14</v>
      </c>
      <c r="B52" s="87" t="s">
        <v>90</v>
      </c>
      <c r="C52" s="126"/>
      <c r="D52" s="197" t="s">
        <v>519</v>
      </c>
      <c r="E52" s="83" t="s">
        <v>518</v>
      </c>
      <c r="F52" s="127">
        <v>137953939</v>
      </c>
      <c r="G52" s="127">
        <v>0</v>
      </c>
      <c r="H52" s="127">
        <v>100000000</v>
      </c>
      <c r="I52" s="284">
        <f t="shared" ref="I52:I53" si="20">F52-H52</f>
        <v>37953939</v>
      </c>
      <c r="J52" s="112"/>
      <c r="K52" s="52"/>
    </row>
    <row r="53" spans="1:11" s="34" customFormat="1" ht="20.100000000000001" customHeight="1" thickBot="1" x14ac:dyDescent="0.3">
      <c r="A53" s="115"/>
      <c r="B53" s="296"/>
      <c r="C53" s="131"/>
      <c r="D53" s="192" t="s">
        <v>520</v>
      </c>
      <c r="E53" s="291" t="s">
        <v>521</v>
      </c>
      <c r="F53" s="79">
        <v>94446508</v>
      </c>
      <c r="G53" s="79">
        <v>0</v>
      </c>
      <c r="H53" s="79">
        <v>70000000</v>
      </c>
      <c r="I53" s="287">
        <f t="shared" si="20"/>
        <v>24446508</v>
      </c>
      <c r="J53" s="123"/>
      <c r="K53" s="52"/>
    </row>
    <row r="54" spans="1:11" s="34" customFormat="1" ht="45" customHeight="1" thickBot="1" x14ac:dyDescent="0.3">
      <c r="A54" s="129"/>
      <c r="B54" s="141"/>
      <c r="C54" s="142"/>
      <c r="D54" s="288"/>
      <c r="E54" s="86" t="s">
        <v>522</v>
      </c>
      <c r="F54" s="82">
        <f t="shared" ref="F54:H54" si="21">SUM(F52:F53)</f>
        <v>232400447</v>
      </c>
      <c r="G54" s="82">
        <f t="shared" si="21"/>
        <v>0</v>
      </c>
      <c r="H54" s="82">
        <f t="shared" si="21"/>
        <v>170000000</v>
      </c>
      <c r="I54" s="82">
        <f>SUM(I52:I53)</f>
        <v>62400447</v>
      </c>
      <c r="J54" s="113"/>
      <c r="K54" s="52"/>
    </row>
    <row r="55" spans="1:11" s="34" customFormat="1" ht="8.25" customHeight="1" x14ac:dyDescent="0.25">
      <c r="A55" s="136"/>
      <c r="B55" s="137"/>
      <c r="C55" s="138"/>
      <c r="D55" s="283"/>
      <c r="E55" s="136"/>
      <c r="F55" s="140"/>
      <c r="G55" s="140"/>
      <c r="H55" s="140"/>
      <c r="I55" s="150"/>
      <c r="J55" s="116"/>
      <c r="K55" s="52"/>
    </row>
    <row r="56" spans="1:11" s="34" customFormat="1" ht="24.75" customHeight="1" thickBot="1" x14ac:dyDescent="0.25">
      <c r="A56" s="279">
        <v>15</v>
      </c>
      <c r="B56" s="135" t="s">
        <v>91</v>
      </c>
      <c r="C56" s="131"/>
      <c r="D56" s="192" t="s">
        <v>523</v>
      </c>
      <c r="E56" s="291" t="s">
        <v>524</v>
      </c>
      <c r="F56" s="79">
        <v>400000000</v>
      </c>
      <c r="G56" s="79">
        <v>0</v>
      </c>
      <c r="H56" s="79">
        <v>200000000</v>
      </c>
      <c r="I56" s="287">
        <f t="shared" ref="I56" si="22">F56-H56</f>
        <v>200000000</v>
      </c>
      <c r="J56" s="290"/>
      <c r="K56" s="52"/>
    </row>
    <row r="57" spans="1:11" s="34" customFormat="1" ht="33" customHeight="1" thickBot="1" x14ac:dyDescent="0.25">
      <c r="A57" s="129"/>
      <c r="B57" s="86"/>
      <c r="C57" s="128"/>
      <c r="D57" s="295"/>
      <c r="E57" s="86" t="s">
        <v>525</v>
      </c>
      <c r="F57" s="82">
        <f t="shared" ref="F57:H57" si="23">SUM(F56)</f>
        <v>400000000</v>
      </c>
      <c r="G57" s="82">
        <f t="shared" si="23"/>
        <v>0</v>
      </c>
      <c r="H57" s="82">
        <f t="shared" si="23"/>
        <v>200000000</v>
      </c>
      <c r="I57" s="82">
        <f>SUM(I56)</f>
        <v>200000000</v>
      </c>
      <c r="J57" s="113"/>
      <c r="K57" s="52"/>
    </row>
    <row r="58" spans="1:11" s="34" customFormat="1" ht="8.25" customHeight="1" x14ac:dyDescent="0.2">
      <c r="A58" s="415"/>
      <c r="B58" s="425"/>
      <c r="C58" s="415"/>
      <c r="D58" s="488"/>
      <c r="E58" s="425"/>
      <c r="F58" s="301"/>
      <c r="G58" s="301"/>
      <c r="H58" s="301"/>
      <c r="I58" s="301"/>
      <c r="K58" s="52"/>
    </row>
    <row r="59" spans="1:11" s="34" customFormat="1" ht="42.75" customHeight="1" x14ac:dyDescent="0.2">
      <c r="A59" s="114">
        <v>16</v>
      </c>
      <c r="B59" s="87" t="s">
        <v>255</v>
      </c>
      <c r="C59" s="114"/>
      <c r="D59" s="197" t="s">
        <v>650</v>
      </c>
      <c r="E59" s="83" t="s">
        <v>651</v>
      </c>
      <c r="F59" s="284">
        <v>69828016</v>
      </c>
      <c r="G59" s="284">
        <v>0</v>
      </c>
      <c r="H59" s="284">
        <v>69828016</v>
      </c>
      <c r="I59" s="284">
        <f t="shared" ref="I59:I60" si="24">F59-H59</f>
        <v>0</v>
      </c>
      <c r="J59" s="112"/>
      <c r="K59" s="52"/>
    </row>
    <row r="60" spans="1:11" s="34" customFormat="1" ht="24.75" customHeight="1" thickBot="1" x14ac:dyDescent="0.25">
      <c r="A60" s="115"/>
      <c r="B60" s="135"/>
      <c r="C60" s="115"/>
      <c r="D60" s="192" t="s">
        <v>526</v>
      </c>
      <c r="E60" s="84" t="s">
        <v>527</v>
      </c>
      <c r="F60" s="287">
        <v>750177644</v>
      </c>
      <c r="G60" s="287">
        <v>87807613.840000004</v>
      </c>
      <c r="H60" s="287">
        <v>250000000</v>
      </c>
      <c r="I60" s="287">
        <f t="shared" si="24"/>
        <v>500177644</v>
      </c>
      <c r="J60" s="123"/>
      <c r="K60" s="52"/>
    </row>
    <row r="61" spans="1:11" s="34" customFormat="1" ht="43.5" customHeight="1" thickBot="1" x14ac:dyDescent="0.25">
      <c r="A61" s="129"/>
      <c r="B61" s="86"/>
      <c r="C61" s="128"/>
      <c r="D61" s="295"/>
      <c r="E61" s="86" t="s">
        <v>528</v>
      </c>
      <c r="F61" s="151">
        <f t="shared" ref="F61:H61" si="25">SUM(F59:F60)</f>
        <v>820005660</v>
      </c>
      <c r="G61" s="151">
        <f t="shared" si="25"/>
        <v>87807613.840000004</v>
      </c>
      <c r="H61" s="151">
        <f t="shared" si="25"/>
        <v>319828016</v>
      </c>
      <c r="I61" s="151">
        <f>SUM(I59:I60)</f>
        <v>500177644</v>
      </c>
      <c r="J61" s="113"/>
      <c r="K61" s="52"/>
    </row>
    <row r="62" spans="1:11" s="34" customFormat="1" ht="8.25" customHeight="1" x14ac:dyDescent="0.2">
      <c r="A62" s="279"/>
      <c r="B62" s="302"/>
      <c r="C62" s="279"/>
      <c r="D62" s="303"/>
      <c r="E62" s="302"/>
      <c r="F62" s="304"/>
      <c r="G62" s="301"/>
      <c r="H62" s="304"/>
      <c r="I62" s="305"/>
      <c r="J62" s="290"/>
      <c r="K62" s="52"/>
    </row>
    <row r="63" spans="1:11" s="34" customFormat="1" ht="22.5" customHeight="1" thickBot="1" x14ac:dyDescent="0.25">
      <c r="A63" s="306">
        <v>17</v>
      </c>
      <c r="B63" s="307" t="s">
        <v>23</v>
      </c>
      <c r="C63" s="306"/>
      <c r="D63" s="308" t="s">
        <v>648</v>
      </c>
      <c r="E63" s="309" t="s">
        <v>649</v>
      </c>
      <c r="F63" s="310">
        <v>500000000</v>
      </c>
      <c r="G63" s="311">
        <v>0</v>
      </c>
      <c r="H63" s="310">
        <v>250000000</v>
      </c>
      <c r="I63" s="310">
        <f t="shared" ref="I63" si="26">F63-H63</f>
        <v>250000000</v>
      </c>
      <c r="J63" s="281"/>
      <c r="K63" s="52"/>
    </row>
    <row r="64" spans="1:11" s="34" customFormat="1" ht="22.5" customHeight="1" thickBot="1" x14ac:dyDescent="0.25">
      <c r="A64" s="129"/>
      <c r="B64" s="86"/>
      <c r="C64" s="128"/>
      <c r="D64" s="295"/>
      <c r="E64" s="297" t="s">
        <v>529</v>
      </c>
      <c r="F64" s="151">
        <f t="shared" ref="F64:H64" si="27">SUM(F63)</f>
        <v>500000000</v>
      </c>
      <c r="G64" s="151">
        <f t="shared" si="27"/>
        <v>0</v>
      </c>
      <c r="H64" s="151">
        <f t="shared" si="27"/>
        <v>250000000</v>
      </c>
      <c r="I64" s="151">
        <f>SUM(I63)</f>
        <v>250000000</v>
      </c>
      <c r="J64" s="113"/>
      <c r="K64" s="52"/>
    </row>
    <row r="65" spans="1:11" s="34" customFormat="1" ht="8.25" customHeight="1" x14ac:dyDescent="0.2">
      <c r="A65" s="136"/>
      <c r="B65" s="144"/>
      <c r="C65" s="136"/>
      <c r="D65" s="293"/>
      <c r="E65" s="144"/>
      <c r="F65" s="304"/>
      <c r="G65" s="301"/>
      <c r="H65" s="304"/>
      <c r="I65" s="305"/>
      <c r="J65" s="290"/>
      <c r="K65" s="52"/>
    </row>
    <row r="66" spans="1:11" s="34" customFormat="1" ht="45" customHeight="1" thickBot="1" x14ac:dyDescent="0.25">
      <c r="A66" s="115">
        <v>18</v>
      </c>
      <c r="B66" s="270" t="s">
        <v>59</v>
      </c>
      <c r="C66" s="115"/>
      <c r="D66" s="192" t="s">
        <v>531</v>
      </c>
      <c r="E66" s="85" t="s">
        <v>530</v>
      </c>
      <c r="F66" s="287">
        <v>1150000000</v>
      </c>
      <c r="G66" s="287">
        <v>12731600</v>
      </c>
      <c r="H66" s="287">
        <v>1000000000</v>
      </c>
      <c r="I66" s="287">
        <f t="shared" ref="I66" si="28">F66-H66</f>
        <v>150000000</v>
      </c>
      <c r="J66" s="123"/>
      <c r="K66" s="52"/>
    </row>
    <row r="67" spans="1:11" s="34" customFormat="1" ht="37.5" customHeight="1" thickBot="1" x14ac:dyDescent="0.25">
      <c r="A67" s="129"/>
      <c r="B67" s="86"/>
      <c r="C67" s="128"/>
      <c r="D67" s="295"/>
      <c r="E67" s="297" t="s">
        <v>532</v>
      </c>
      <c r="F67" s="82">
        <f t="shared" ref="F67:H67" si="29">SUM(F66)</f>
        <v>1150000000</v>
      </c>
      <c r="G67" s="82">
        <f t="shared" si="29"/>
        <v>12731600</v>
      </c>
      <c r="H67" s="82">
        <f t="shared" si="29"/>
        <v>1000000000</v>
      </c>
      <c r="I67" s="82">
        <f>SUM(I66)</f>
        <v>150000000</v>
      </c>
      <c r="J67" s="113"/>
      <c r="K67" s="52"/>
    </row>
    <row r="68" spans="1:11" s="34" customFormat="1" ht="7.5" customHeight="1" x14ac:dyDescent="0.2">
      <c r="A68" s="136"/>
      <c r="B68" s="302"/>
      <c r="C68" s="279"/>
      <c r="D68" s="303"/>
      <c r="E68" s="302"/>
      <c r="F68" s="304"/>
      <c r="G68" s="301"/>
      <c r="H68" s="304"/>
      <c r="I68" s="305"/>
      <c r="J68" s="290"/>
      <c r="K68" s="52"/>
    </row>
    <row r="69" spans="1:11" s="34" customFormat="1" ht="55.5" customHeight="1" thickBot="1" x14ac:dyDescent="0.25">
      <c r="A69" s="115">
        <v>19</v>
      </c>
      <c r="B69" s="135" t="s">
        <v>71</v>
      </c>
      <c r="C69" s="115"/>
      <c r="D69" s="192" t="s">
        <v>533</v>
      </c>
      <c r="E69" s="84" t="s">
        <v>534</v>
      </c>
      <c r="F69" s="287">
        <v>450000000</v>
      </c>
      <c r="G69" s="287">
        <v>106464860.81</v>
      </c>
      <c r="H69" s="287">
        <v>150000000</v>
      </c>
      <c r="I69" s="287">
        <f t="shared" ref="I69" si="30">F69-H69</f>
        <v>300000000</v>
      </c>
      <c r="J69" s="123"/>
      <c r="K69" s="52"/>
    </row>
    <row r="70" spans="1:11" s="34" customFormat="1" ht="45" customHeight="1" thickBot="1" x14ac:dyDescent="0.25">
      <c r="A70" s="129"/>
      <c r="B70" s="86"/>
      <c r="C70" s="128"/>
      <c r="D70" s="295"/>
      <c r="E70" s="86" t="s">
        <v>535</v>
      </c>
      <c r="F70" s="82">
        <f t="shared" ref="F70:G70" si="31">SUM(F69)</f>
        <v>450000000</v>
      </c>
      <c r="G70" s="82">
        <f t="shared" si="31"/>
        <v>106464860.81</v>
      </c>
      <c r="H70" s="82">
        <f>SUM(H69)</f>
        <v>150000000</v>
      </c>
      <c r="I70" s="82">
        <f>SUM(I69)</f>
        <v>300000000</v>
      </c>
      <c r="J70" s="113"/>
      <c r="K70" s="52"/>
    </row>
    <row r="71" spans="1:11" s="34" customFormat="1" ht="6" customHeight="1" x14ac:dyDescent="0.2">
      <c r="A71" s="279"/>
      <c r="B71" s="302"/>
      <c r="C71" s="279"/>
      <c r="D71" s="303"/>
      <c r="E71" s="302"/>
      <c r="F71" s="304"/>
      <c r="G71" s="304"/>
      <c r="H71" s="304"/>
      <c r="I71" s="304"/>
      <c r="J71" s="290"/>
      <c r="K71" s="52"/>
    </row>
    <row r="72" spans="1:11" s="34" customFormat="1" ht="25.5" customHeight="1" thickBot="1" x14ac:dyDescent="0.25">
      <c r="A72" s="306">
        <v>20</v>
      </c>
      <c r="B72" s="307" t="s">
        <v>250</v>
      </c>
      <c r="C72" s="306"/>
      <c r="D72" s="308" t="s">
        <v>539</v>
      </c>
      <c r="E72" s="309" t="s">
        <v>538</v>
      </c>
      <c r="F72" s="310">
        <v>500000000</v>
      </c>
      <c r="G72" s="310">
        <v>0</v>
      </c>
      <c r="H72" s="310">
        <v>400000000</v>
      </c>
      <c r="I72" s="310">
        <f t="shared" ref="I72" si="32">F72-H72</f>
        <v>100000000</v>
      </c>
      <c r="J72" s="281"/>
      <c r="K72" s="52"/>
    </row>
    <row r="73" spans="1:11" s="34" customFormat="1" ht="24.75" customHeight="1" thickBot="1" x14ac:dyDescent="0.25">
      <c r="A73" s="129"/>
      <c r="B73" s="86"/>
      <c r="C73" s="128"/>
      <c r="D73" s="295"/>
      <c r="E73" s="297" t="s">
        <v>537</v>
      </c>
      <c r="F73" s="82">
        <f t="shared" ref="F73:H73" si="33">SUM(F72)</f>
        <v>500000000</v>
      </c>
      <c r="G73" s="82">
        <f t="shared" si="33"/>
        <v>0</v>
      </c>
      <c r="H73" s="82">
        <f t="shared" si="33"/>
        <v>400000000</v>
      </c>
      <c r="I73" s="82">
        <f>SUM(I72)</f>
        <v>100000000</v>
      </c>
      <c r="J73" s="113"/>
      <c r="K73" s="52"/>
    </row>
    <row r="74" spans="1:11" s="34" customFormat="1" ht="9" customHeight="1" x14ac:dyDescent="0.2">
      <c r="A74" s="136"/>
      <c r="B74" s="144"/>
      <c r="C74" s="136"/>
      <c r="D74" s="319"/>
      <c r="E74" s="144"/>
      <c r="F74" s="318"/>
      <c r="G74" s="318"/>
      <c r="H74" s="318"/>
      <c r="I74" s="318"/>
      <c r="J74" s="116"/>
      <c r="K74" s="52"/>
    </row>
    <row r="75" spans="1:11" s="34" customFormat="1" ht="34.5" customHeight="1" x14ac:dyDescent="0.2">
      <c r="A75" s="114">
        <v>21</v>
      </c>
      <c r="B75" s="270" t="s">
        <v>69</v>
      </c>
      <c r="C75" s="114"/>
      <c r="D75" s="192" t="s">
        <v>542</v>
      </c>
      <c r="E75" s="83" t="s">
        <v>541</v>
      </c>
      <c r="F75" s="284">
        <v>110000000</v>
      </c>
      <c r="G75" s="284">
        <v>1667500</v>
      </c>
      <c r="H75" s="284">
        <v>70000000</v>
      </c>
      <c r="I75" s="287">
        <f t="shared" ref="I75:I76" si="34">F75-H75</f>
        <v>40000000</v>
      </c>
      <c r="J75" s="112"/>
      <c r="K75" s="52"/>
    </row>
    <row r="76" spans="1:11" s="34" customFormat="1" ht="24.75" customHeight="1" thickBot="1" x14ac:dyDescent="0.25">
      <c r="A76" s="115"/>
      <c r="B76" s="135"/>
      <c r="C76" s="115"/>
      <c r="D76" s="192" t="s">
        <v>543</v>
      </c>
      <c r="E76" s="84" t="s">
        <v>544</v>
      </c>
      <c r="F76" s="287">
        <v>103000000</v>
      </c>
      <c r="G76" s="287">
        <v>28611000.100000001</v>
      </c>
      <c r="H76" s="287">
        <v>60000000</v>
      </c>
      <c r="I76" s="287">
        <f t="shared" si="34"/>
        <v>43000000</v>
      </c>
      <c r="J76" s="123"/>
      <c r="K76" s="52"/>
    </row>
    <row r="77" spans="1:11" s="34" customFormat="1" ht="36" customHeight="1" thickBot="1" x14ac:dyDescent="0.25">
      <c r="A77" s="129"/>
      <c r="B77" s="86"/>
      <c r="C77" s="128"/>
      <c r="D77" s="295"/>
      <c r="E77" s="297" t="s">
        <v>540</v>
      </c>
      <c r="F77" s="82">
        <f t="shared" ref="F77:H77" si="35">SUM(F75:F76)</f>
        <v>213000000</v>
      </c>
      <c r="G77" s="82">
        <f t="shared" si="35"/>
        <v>30278500.100000001</v>
      </c>
      <c r="H77" s="82">
        <f t="shared" si="35"/>
        <v>130000000</v>
      </c>
      <c r="I77" s="82">
        <f>SUM(I75:I76)</f>
        <v>83000000</v>
      </c>
      <c r="J77" s="113"/>
      <c r="K77" s="52"/>
    </row>
    <row r="78" spans="1:11" s="34" customFormat="1" ht="8.25" customHeight="1" x14ac:dyDescent="0.2">
      <c r="A78" s="136"/>
      <c r="B78" s="144"/>
      <c r="C78" s="136"/>
      <c r="D78" s="293"/>
      <c r="E78" s="144"/>
      <c r="F78" s="318"/>
      <c r="G78" s="318"/>
      <c r="H78" s="318"/>
      <c r="I78" s="318"/>
      <c r="J78" s="116"/>
      <c r="K78" s="52"/>
    </row>
    <row r="79" spans="1:11" s="34" customFormat="1" ht="22.5" customHeight="1" x14ac:dyDescent="0.2">
      <c r="A79" s="114">
        <v>22</v>
      </c>
      <c r="B79" s="270" t="s">
        <v>70</v>
      </c>
      <c r="C79" s="114"/>
      <c r="D79" s="192" t="s">
        <v>546</v>
      </c>
      <c r="E79" s="83" t="s">
        <v>545</v>
      </c>
      <c r="F79" s="284">
        <v>50000000</v>
      </c>
      <c r="G79" s="284">
        <v>0</v>
      </c>
      <c r="H79" s="284">
        <v>30000000</v>
      </c>
      <c r="I79" s="287">
        <f>F79-H79</f>
        <v>20000000</v>
      </c>
      <c r="J79" s="112"/>
      <c r="K79" s="52"/>
    </row>
    <row r="80" spans="1:11" s="34" customFormat="1" ht="15.75" customHeight="1" thickBot="1" x14ac:dyDescent="0.25">
      <c r="A80" s="115"/>
      <c r="B80" s="135"/>
      <c r="C80" s="115"/>
      <c r="D80" s="192" t="s">
        <v>548</v>
      </c>
      <c r="E80" s="291" t="s">
        <v>547</v>
      </c>
      <c r="F80" s="287">
        <v>50000000</v>
      </c>
      <c r="G80" s="287">
        <v>0</v>
      </c>
      <c r="H80" s="287">
        <v>30000000</v>
      </c>
      <c r="I80" s="287">
        <f>F80-H80</f>
        <v>20000000</v>
      </c>
      <c r="J80" s="123"/>
      <c r="K80" s="52"/>
    </row>
    <row r="81" spans="1:11" s="34" customFormat="1" ht="22.5" customHeight="1" thickBot="1" x14ac:dyDescent="0.25">
      <c r="A81" s="129"/>
      <c r="B81" s="86"/>
      <c r="C81" s="128"/>
      <c r="D81" s="295"/>
      <c r="E81" s="297" t="s">
        <v>549</v>
      </c>
      <c r="F81" s="82">
        <f t="shared" ref="F81:H81" si="36">SUM(F79:F80)</f>
        <v>100000000</v>
      </c>
      <c r="G81" s="82">
        <f t="shared" si="36"/>
        <v>0</v>
      </c>
      <c r="H81" s="82">
        <f t="shared" si="36"/>
        <v>60000000</v>
      </c>
      <c r="I81" s="82">
        <f>SUM(I79:I80)</f>
        <v>40000000</v>
      </c>
      <c r="J81" s="113"/>
      <c r="K81" s="52"/>
    </row>
    <row r="82" spans="1:11" s="34" customFormat="1" ht="6.75" customHeight="1" x14ac:dyDescent="0.2">
      <c r="A82" s="136"/>
      <c r="B82" s="144"/>
      <c r="C82" s="136"/>
      <c r="D82" s="293"/>
      <c r="E82" s="144"/>
      <c r="F82" s="318"/>
      <c r="G82" s="318"/>
      <c r="H82" s="318"/>
      <c r="I82" s="318"/>
      <c r="J82" s="116"/>
      <c r="K82" s="52"/>
    </row>
    <row r="83" spans="1:11" s="34" customFormat="1" ht="33" customHeight="1" thickBot="1" x14ac:dyDescent="0.25">
      <c r="A83" s="115">
        <v>23</v>
      </c>
      <c r="B83" s="270" t="s">
        <v>106</v>
      </c>
      <c r="C83" s="115"/>
      <c r="D83" s="192" t="s">
        <v>552</v>
      </c>
      <c r="E83" s="84" t="s">
        <v>551</v>
      </c>
      <c r="F83" s="287">
        <v>43000000</v>
      </c>
      <c r="G83" s="287">
        <v>0</v>
      </c>
      <c r="H83" s="287">
        <v>30000000</v>
      </c>
      <c r="I83" s="287">
        <f>F83-H83</f>
        <v>13000000</v>
      </c>
      <c r="J83" s="123"/>
      <c r="K83" s="52"/>
    </row>
    <row r="84" spans="1:11" s="34" customFormat="1" ht="24.75" customHeight="1" thickBot="1" x14ac:dyDescent="0.25">
      <c r="A84" s="129"/>
      <c r="B84" s="86"/>
      <c r="C84" s="128"/>
      <c r="D84" s="295"/>
      <c r="E84" s="297" t="s">
        <v>550</v>
      </c>
      <c r="F84" s="82">
        <f t="shared" ref="F84:H84" si="37">SUM(F83)</f>
        <v>43000000</v>
      </c>
      <c r="G84" s="82">
        <f t="shared" si="37"/>
        <v>0</v>
      </c>
      <c r="H84" s="82">
        <f t="shared" si="37"/>
        <v>30000000</v>
      </c>
      <c r="I84" s="82">
        <f>SUM(I83)</f>
        <v>13000000</v>
      </c>
      <c r="J84" s="113"/>
      <c r="K84" s="52"/>
    </row>
    <row r="85" spans="1:11" s="34" customFormat="1" ht="7.5" customHeight="1" x14ac:dyDescent="0.2">
      <c r="A85" s="136"/>
      <c r="B85" s="144"/>
      <c r="C85" s="136"/>
      <c r="D85" s="293"/>
      <c r="E85" s="144"/>
      <c r="F85" s="318"/>
      <c r="G85" s="318"/>
      <c r="H85" s="318"/>
      <c r="I85" s="318"/>
      <c r="J85" s="116"/>
      <c r="K85" s="52"/>
    </row>
    <row r="86" spans="1:11" s="34" customFormat="1" ht="36" customHeight="1" x14ac:dyDescent="0.2">
      <c r="A86" s="114">
        <v>24</v>
      </c>
      <c r="B86" s="270" t="s">
        <v>217</v>
      </c>
      <c r="C86" s="114"/>
      <c r="D86" s="192" t="s">
        <v>553</v>
      </c>
      <c r="E86" s="83" t="s">
        <v>554</v>
      </c>
      <c r="F86" s="284">
        <v>60000000</v>
      </c>
      <c r="G86" s="284">
        <v>0</v>
      </c>
      <c r="H86" s="284">
        <v>40000000</v>
      </c>
      <c r="I86" s="284">
        <f t="shared" ref="I86:I89" si="38">F86-H86</f>
        <v>20000000</v>
      </c>
      <c r="J86" s="112"/>
      <c r="K86" s="52"/>
    </row>
    <row r="87" spans="1:11" s="34" customFormat="1" ht="33.75" customHeight="1" x14ac:dyDescent="0.2">
      <c r="A87" s="114"/>
      <c r="B87" s="87"/>
      <c r="C87" s="114"/>
      <c r="D87" s="192" t="s">
        <v>556</v>
      </c>
      <c r="E87" s="83" t="s">
        <v>555</v>
      </c>
      <c r="F87" s="284">
        <v>70000000</v>
      </c>
      <c r="G87" s="284">
        <v>0</v>
      </c>
      <c r="H87" s="284">
        <v>50000000</v>
      </c>
      <c r="I87" s="284">
        <f t="shared" si="38"/>
        <v>20000000</v>
      </c>
      <c r="J87" s="112"/>
      <c r="K87" s="52"/>
    </row>
    <row r="88" spans="1:11" s="34" customFormat="1" ht="24" customHeight="1" x14ac:dyDescent="0.2">
      <c r="A88" s="114"/>
      <c r="B88" s="87"/>
      <c r="C88" s="114"/>
      <c r="D88" s="192" t="s">
        <v>558</v>
      </c>
      <c r="E88" s="83" t="s">
        <v>557</v>
      </c>
      <c r="F88" s="284">
        <v>45000000</v>
      </c>
      <c r="G88" s="284">
        <v>0</v>
      </c>
      <c r="H88" s="284">
        <v>35000000</v>
      </c>
      <c r="I88" s="284">
        <f t="shared" si="38"/>
        <v>10000000</v>
      </c>
      <c r="J88" s="112"/>
      <c r="K88" s="52"/>
    </row>
    <row r="89" spans="1:11" s="34" customFormat="1" ht="24" customHeight="1" thickBot="1" x14ac:dyDescent="0.25">
      <c r="A89" s="115"/>
      <c r="B89" s="135"/>
      <c r="C89" s="115"/>
      <c r="D89" s="192" t="s">
        <v>559</v>
      </c>
      <c r="E89" s="84" t="s">
        <v>560</v>
      </c>
      <c r="F89" s="287">
        <v>542500000</v>
      </c>
      <c r="G89" s="287">
        <v>12039185</v>
      </c>
      <c r="H89" s="287">
        <v>300000000</v>
      </c>
      <c r="I89" s="287">
        <f t="shared" si="38"/>
        <v>242500000</v>
      </c>
      <c r="J89" s="123"/>
      <c r="K89" s="52"/>
    </row>
    <row r="90" spans="1:11" s="34" customFormat="1" ht="32.25" customHeight="1" thickBot="1" x14ac:dyDescent="0.25">
      <c r="A90" s="129"/>
      <c r="B90" s="86"/>
      <c r="C90" s="128"/>
      <c r="D90" s="295"/>
      <c r="E90" s="297" t="s">
        <v>561</v>
      </c>
      <c r="F90" s="82">
        <f t="shared" ref="F90:H90" si="39">SUM(F86:F89)</f>
        <v>717500000</v>
      </c>
      <c r="G90" s="82">
        <f t="shared" si="39"/>
        <v>12039185</v>
      </c>
      <c r="H90" s="82">
        <f t="shared" si="39"/>
        <v>425000000</v>
      </c>
      <c r="I90" s="82">
        <f>SUM(I86:I89)</f>
        <v>292500000</v>
      </c>
      <c r="J90" s="113"/>
      <c r="K90" s="52"/>
    </row>
    <row r="91" spans="1:11" s="34" customFormat="1" ht="6.75" customHeight="1" x14ac:dyDescent="0.2">
      <c r="A91" s="136"/>
      <c r="B91" s="144"/>
      <c r="C91" s="136"/>
      <c r="D91" s="293"/>
      <c r="E91" s="144"/>
      <c r="F91" s="318"/>
      <c r="G91" s="318"/>
      <c r="H91" s="318"/>
      <c r="I91" s="318"/>
      <c r="J91" s="116"/>
      <c r="K91" s="52"/>
    </row>
    <row r="92" spans="1:11" s="34" customFormat="1" ht="23.25" customHeight="1" x14ac:dyDescent="0.2">
      <c r="A92" s="114">
        <v>25</v>
      </c>
      <c r="B92" s="87" t="s">
        <v>87</v>
      </c>
      <c r="C92" s="114"/>
      <c r="D92" s="197" t="s">
        <v>564</v>
      </c>
      <c r="E92" s="56" t="s">
        <v>563</v>
      </c>
      <c r="F92" s="284">
        <v>40000000</v>
      </c>
      <c r="G92" s="284">
        <v>0</v>
      </c>
      <c r="H92" s="284">
        <v>30000000</v>
      </c>
      <c r="I92" s="284">
        <f t="shared" ref="I92" si="40">F92-H92</f>
        <v>10000000</v>
      </c>
      <c r="J92" s="112"/>
      <c r="K92" s="52"/>
    </row>
    <row r="93" spans="1:11" s="34" customFormat="1" ht="21.75" customHeight="1" thickBot="1" x14ac:dyDescent="0.25">
      <c r="A93" s="489"/>
      <c r="B93" s="404"/>
      <c r="C93" s="167"/>
      <c r="D93" s="490"/>
      <c r="E93" s="491" t="s">
        <v>562</v>
      </c>
      <c r="F93" s="492">
        <f t="shared" ref="F93:H93" si="41">SUM(F92)</f>
        <v>40000000</v>
      </c>
      <c r="G93" s="492">
        <f t="shared" si="41"/>
        <v>0</v>
      </c>
      <c r="H93" s="492">
        <f t="shared" si="41"/>
        <v>30000000</v>
      </c>
      <c r="I93" s="492">
        <f>SUM(I92)</f>
        <v>10000000</v>
      </c>
      <c r="J93" s="317"/>
      <c r="K93" s="52"/>
    </row>
    <row r="94" spans="1:11" s="34" customFormat="1" ht="6.75" customHeight="1" x14ac:dyDescent="0.2">
      <c r="A94" s="136"/>
      <c r="B94" s="144"/>
      <c r="C94" s="136"/>
      <c r="D94" s="293"/>
      <c r="E94" s="144"/>
      <c r="F94" s="318"/>
      <c r="G94" s="318"/>
      <c r="H94" s="318"/>
      <c r="I94" s="318"/>
      <c r="J94" s="116"/>
      <c r="K94" s="52"/>
    </row>
    <row r="95" spans="1:11" s="34" customFormat="1" ht="24" customHeight="1" thickBot="1" x14ac:dyDescent="0.25">
      <c r="A95" s="115">
        <v>26</v>
      </c>
      <c r="B95" s="270" t="s">
        <v>40</v>
      </c>
      <c r="C95" s="115"/>
      <c r="D95" s="192" t="s">
        <v>615</v>
      </c>
      <c r="E95" s="85" t="s">
        <v>614</v>
      </c>
      <c r="F95" s="287">
        <v>2000000000</v>
      </c>
      <c r="G95" s="287"/>
      <c r="H95" s="287">
        <v>1950000000</v>
      </c>
      <c r="I95" s="287">
        <f t="shared" ref="I95" si="42">F95-H95</f>
        <v>50000000</v>
      </c>
      <c r="J95" s="123"/>
      <c r="K95" s="52"/>
    </row>
    <row r="96" spans="1:11" s="34" customFormat="1" ht="21.75" customHeight="1" thickBot="1" x14ac:dyDescent="0.25">
      <c r="A96" s="129"/>
      <c r="B96" s="86"/>
      <c r="C96" s="128"/>
      <c r="D96" s="295"/>
      <c r="E96" s="86" t="s">
        <v>1138</v>
      </c>
      <c r="F96" s="82">
        <f t="shared" ref="F96:H96" si="43">SUM(F95)</f>
        <v>2000000000</v>
      </c>
      <c r="G96" s="82">
        <f t="shared" si="43"/>
        <v>0</v>
      </c>
      <c r="H96" s="82">
        <f t="shared" si="43"/>
        <v>1950000000</v>
      </c>
      <c r="I96" s="82">
        <f>SUM(I95)</f>
        <v>50000000</v>
      </c>
      <c r="J96" s="113"/>
      <c r="K96" s="52"/>
    </row>
    <row r="97" spans="1:11" s="34" customFormat="1" ht="6.75" customHeight="1" x14ac:dyDescent="0.2">
      <c r="A97" s="136"/>
      <c r="B97" s="144"/>
      <c r="C97" s="136"/>
      <c r="D97" s="293"/>
      <c r="E97" s="144"/>
      <c r="F97" s="318"/>
      <c r="G97" s="318"/>
      <c r="H97" s="318"/>
      <c r="I97" s="318"/>
      <c r="J97" s="116"/>
      <c r="K97" s="52"/>
    </row>
    <row r="98" spans="1:11" s="34" customFormat="1" ht="76.5" customHeight="1" thickBot="1" x14ac:dyDescent="0.25">
      <c r="A98" s="114">
        <v>27</v>
      </c>
      <c r="B98" s="518" t="s">
        <v>640</v>
      </c>
      <c r="C98" s="114"/>
      <c r="D98" s="192" t="s">
        <v>1136</v>
      </c>
      <c r="E98" s="85" t="s">
        <v>1137</v>
      </c>
      <c r="F98" s="287">
        <v>740000000</v>
      </c>
      <c r="G98" s="519"/>
      <c r="H98" s="287">
        <v>170000000</v>
      </c>
      <c r="I98" s="287">
        <f t="shared" ref="I98" si="44">F98-H98</f>
        <v>570000000</v>
      </c>
      <c r="J98" s="123"/>
      <c r="K98" s="52"/>
    </row>
    <row r="99" spans="1:11" s="34" customFormat="1" ht="43.5" customHeight="1" thickBot="1" x14ac:dyDescent="0.25">
      <c r="A99" s="129"/>
      <c r="B99" s="86"/>
      <c r="C99" s="128"/>
      <c r="D99" s="295"/>
      <c r="E99" s="86" t="s">
        <v>1135</v>
      </c>
      <c r="F99" s="82">
        <f>SUM(F98:F98)</f>
        <v>740000000</v>
      </c>
      <c r="G99" s="82">
        <f>SUM(G98:G98)</f>
        <v>0</v>
      </c>
      <c r="H99" s="82">
        <f>SUM(H98:H98)</f>
        <v>170000000</v>
      </c>
      <c r="I99" s="82">
        <f>SUM(I98:I98)</f>
        <v>570000000</v>
      </c>
      <c r="J99" s="113"/>
      <c r="K99" s="52"/>
    </row>
    <row r="100" spans="1:11" s="30" customFormat="1" ht="24.75" customHeight="1" thickBot="1" x14ac:dyDescent="0.25">
      <c r="A100" s="313"/>
      <c r="B100" s="314"/>
      <c r="C100" s="167"/>
      <c r="D100" s="315"/>
      <c r="E100" s="521" t="s">
        <v>152</v>
      </c>
      <c r="F100" s="316">
        <f t="shared" ref="F100:H100" si="45">F22+F19+F16+F12+F9+F70+F67+F64+F61+F57+F54+F50+F47+F44+F40+F36+F33+F29+F26+F93+F90+F84+F81+F77+F73+F96+F99</f>
        <v>15332277467</v>
      </c>
      <c r="G100" s="316">
        <f t="shared" si="45"/>
        <v>722154903.52999997</v>
      </c>
      <c r="H100" s="316">
        <f t="shared" si="45"/>
        <v>9382899000</v>
      </c>
      <c r="I100" s="316">
        <f>I22+I19+I16+I12+I9+I70+I67+I64+I61+I57+I54+I50+I47+I44+I40+I36+I33+I29+I26+I93+I90+I84+I81+I77+I73+I96+I99</f>
        <v>5949378467</v>
      </c>
      <c r="J100" s="317"/>
    </row>
    <row r="101" spans="1:11" s="30" customFormat="1" ht="18.95" customHeight="1" x14ac:dyDescent="0.2">
      <c r="A101" s="34"/>
      <c r="B101" s="45"/>
      <c r="C101" s="34"/>
      <c r="D101" s="42"/>
      <c r="E101" s="43"/>
      <c r="F101" s="40"/>
      <c r="G101" s="40"/>
      <c r="H101" s="40"/>
      <c r="I101" s="40"/>
    </row>
    <row r="102" spans="1:11" s="30" customFormat="1" ht="46.5" customHeight="1" x14ac:dyDescent="0.2">
      <c r="J102" s="230"/>
    </row>
    <row r="103" spans="1:11" s="30" customFormat="1" ht="39.75" customHeight="1" x14ac:dyDescent="0.2">
      <c r="J103" s="230"/>
    </row>
    <row r="104" spans="1:11" s="30" customFormat="1" ht="18.95" customHeight="1" x14ac:dyDescent="0.2">
      <c r="A104" s="34"/>
      <c r="B104" s="34"/>
      <c r="C104" s="34"/>
      <c r="D104" s="42"/>
      <c r="E104" s="44"/>
      <c r="F104" s="40"/>
      <c r="G104" s="40"/>
      <c r="H104" s="40"/>
      <c r="I104" s="40"/>
    </row>
    <row r="105" spans="1:11" s="30" customFormat="1" ht="18.95" customHeight="1" x14ac:dyDescent="0.2">
      <c r="A105" s="34"/>
      <c r="B105" s="34"/>
      <c r="C105" s="34"/>
      <c r="D105" s="42"/>
      <c r="E105" s="44"/>
      <c r="F105" s="40"/>
      <c r="G105" s="40"/>
      <c r="H105" s="40"/>
      <c r="I105" s="40"/>
    </row>
    <row r="106" spans="1:11" s="30" customFormat="1" ht="18.95" customHeight="1" x14ac:dyDescent="0.2">
      <c r="A106" s="34"/>
      <c r="B106" s="34"/>
      <c r="C106" s="34"/>
      <c r="D106" s="42"/>
      <c r="E106" s="43"/>
      <c r="F106" s="40"/>
      <c r="G106" s="40"/>
      <c r="H106" s="40"/>
      <c r="I106" s="40"/>
    </row>
    <row r="107" spans="1:11" s="30" customFormat="1" ht="18.95" customHeight="1" x14ac:dyDescent="0.2">
      <c r="A107" s="34"/>
      <c r="B107" s="34"/>
      <c r="C107" s="34"/>
      <c r="D107" s="42"/>
      <c r="E107" s="43"/>
      <c r="F107" s="40"/>
      <c r="G107" s="40"/>
      <c r="H107" s="40"/>
      <c r="I107" s="40"/>
    </row>
  </sheetData>
  <mergeCells count="4">
    <mergeCell ref="A1:J1"/>
    <mergeCell ref="A2:J2"/>
    <mergeCell ref="A3:J3"/>
    <mergeCell ref="A4:J4"/>
  </mergeCells>
  <pageMargins left="0.1" right="0.13" top="0.75" bottom="0.75" header="0.3" footer="0.3"/>
  <pageSetup firstPageNumber="49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>
      <selection activeCell="K5" sqref="K5"/>
    </sheetView>
  </sheetViews>
  <sheetFormatPr defaultRowHeight="15" x14ac:dyDescent="0.25"/>
  <cols>
    <col min="1" max="1" width="11.5703125" customWidth="1"/>
    <col min="2" max="2" width="12.7109375" customWidth="1"/>
    <col min="3" max="3" width="35.28515625" customWidth="1"/>
    <col min="4" max="4" width="13.42578125" customWidth="1"/>
    <col min="5" max="5" width="13" customWidth="1"/>
    <col min="6" max="6" width="14.7109375" customWidth="1"/>
    <col min="7" max="7" width="13.42578125" customWidth="1"/>
    <col min="8" max="8" width="9.85546875" customWidth="1"/>
    <col min="12" max="12" width="13.140625" bestFit="1" customWidth="1"/>
  </cols>
  <sheetData>
    <row r="1" spans="1:8" x14ac:dyDescent="0.25">
      <c r="A1" s="625" t="s">
        <v>7</v>
      </c>
      <c r="B1" s="625"/>
      <c r="C1" s="625"/>
      <c r="D1" s="625"/>
      <c r="E1" s="625"/>
      <c r="F1" s="625"/>
      <c r="G1" s="625"/>
      <c r="H1" s="625"/>
    </row>
    <row r="2" spans="1:8" x14ac:dyDescent="0.25">
      <c r="A2" s="623" t="s">
        <v>1180</v>
      </c>
      <c r="B2" s="623"/>
      <c r="C2" s="623"/>
      <c r="D2" s="623"/>
      <c r="E2" s="623"/>
      <c r="F2" s="623"/>
      <c r="G2" s="623"/>
      <c r="H2" s="623"/>
    </row>
    <row r="3" spans="1:8" x14ac:dyDescent="0.25">
      <c r="A3" s="625" t="s">
        <v>15</v>
      </c>
      <c r="B3" s="625"/>
      <c r="C3" s="625"/>
      <c r="D3" s="625"/>
      <c r="E3" s="625"/>
      <c r="F3" s="625"/>
      <c r="G3" s="625"/>
      <c r="H3" s="625"/>
    </row>
    <row r="4" spans="1:8" x14ac:dyDescent="0.25">
      <c r="A4" s="28"/>
      <c r="B4" s="28"/>
      <c r="C4" s="627"/>
      <c r="D4" s="627"/>
      <c r="E4" s="627"/>
      <c r="F4" s="627"/>
      <c r="G4" s="29"/>
    </row>
    <row r="5" spans="1:8" s="30" customFormat="1" ht="37.5" customHeight="1" x14ac:dyDescent="0.2">
      <c r="A5" s="74" t="s">
        <v>16</v>
      </c>
      <c r="B5" s="74" t="s">
        <v>17</v>
      </c>
      <c r="C5" s="75" t="s">
        <v>18</v>
      </c>
      <c r="D5" s="74" t="s">
        <v>288</v>
      </c>
      <c r="E5" s="74" t="s">
        <v>1142</v>
      </c>
      <c r="F5" s="74" t="s">
        <v>19</v>
      </c>
      <c r="G5" s="74" t="s">
        <v>1178</v>
      </c>
      <c r="H5" s="74" t="s">
        <v>207</v>
      </c>
    </row>
    <row r="6" spans="1:8" s="32" customFormat="1" ht="13.5" customHeight="1" x14ac:dyDescent="0.25">
      <c r="A6" s="93">
        <v>1</v>
      </c>
      <c r="B6" s="93">
        <v>2</v>
      </c>
      <c r="C6" s="152">
        <v>3</v>
      </c>
      <c r="D6" s="169" t="s">
        <v>20</v>
      </c>
      <c r="E6" s="169" t="s">
        <v>158</v>
      </c>
      <c r="F6" s="170" t="s">
        <v>21</v>
      </c>
      <c r="G6" s="171" t="s">
        <v>22</v>
      </c>
      <c r="H6" s="31"/>
    </row>
    <row r="7" spans="1:8" s="32" customFormat="1" ht="13.5" customHeight="1" x14ac:dyDescent="0.25">
      <c r="A7" s="190" t="s">
        <v>800</v>
      </c>
      <c r="B7" s="93"/>
      <c r="C7" s="122" t="s">
        <v>52</v>
      </c>
      <c r="D7" s="169"/>
      <c r="E7" s="169"/>
      <c r="F7" s="170"/>
      <c r="G7" s="171"/>
      <c r="H7" s="31"/>
    </row>
    <row r="8" spans="1:8" s="32" customFormat="1" ht="34.5" customHeight="1" thickBot="1" x14ac:dyDescent="0.3">
      <c r="A8" s="109"/>
      <c r="B8" s="192" t="s">
        <v>1159</v>
      </c>
      <c r="C8" s="595" t="s">
        <v>1158</v>
      </c>
      <c r="D8" s="585">
        <v>0</v>
      </c>
      <c r="E8" s="585">
        <v>0</v>
      </c>
      <c r="F8" s="424">
        <v>300000000</v>
      </c>
      <c r="G8" s="591">
        <f>D8+F8</f>
        <v>300000000</v>
      </c>
      <c r="H8" s="596" t="s">
        <v>208</v>
      </c>
    </row>
    <row r="9" spans="1:8" s="32" customFormat="1" ht="24.75" customHeight="1" thickBot="1" x14ac:dyDescent="0.3">
      <c r="A9" s="173"/>
      <c r="B9" s="174"/>
      <c r="C9" s="86" t="s">
        <v>1156</v>
      </c>
      <c r="D9" s="592">
        <f t="shared" ref="D9:F9" si="0">SUM(D8)</f>
        <v>0</v>
      </c>
      <c r="E9" s="592">
        <f t="shared" si="0"/>
        <v>0</v>
      </c>
      <c r="F9" s="592">
        <f t="shared" si="0"/>
        <v>300000000</v>
      </c>
      <c r="G9" s="592">
        <f>SUM(G8)</f>
        <v>300000000</v>
      </c>
      <c r="H9" s="175"/>
    </row>
    <row r="10" spans="1:8" s="32" customFormat="1" ht="6" customHeight="1" x14ac:dyDescent="0.25">
      <c r="A10" s="586"/>
      <c r="B10" s="586"/>
      <c r="C10" s="587"/>
      <c r="D10" s="588"/>
      <c r="E10" s="588"/>
      <c r="F10" s="589"/>
      <c r="G10" s="590"/>
      <c r="H10" s="274"/>
    </row>
    <row r="11" spans="1:8" s="32" customFormat="1" ht="24" customHeight="1" x14ac:dyDescent="0.25">
      <c r="A11" s="190" t="s">
        <v>285</v>
      </c>
      <c r="B11" s="31"/>
      <c r="C11" s="255" t="s">
        <v>57</v>
      </c>
      <c r="D11" s="31"/>
      <c r="E11" s="31"/>
      <c r="F11" s="31"/>
      <c r="G11" s="31"/>
      <c r="H11" s="31"/>
    </row>
    <row r="12" spans="1:8" s="32" customFormat="1" ht="15" customHeight="1" x14ac:dyDescent="0.25">
      <c r="A12" s="38"/>
      <c r="B12" s="197" t="s">
        <v>286</v>
      </c>
      <c r="C12" s="257" t="s">
        <v>289</v>
      </c>
      <c r="D12" s="238">
        <v>1100000</v>
      </c>
      <c r="E12" s="79">
        <v>0</v>
      </c>
      <c r="F12" s="239">
        <v>1900000</v>
      </c>
      <c r="G12" s="212">
        <f>D12+F12</f>
        <v>3000000</v>
      </c>
      <c r="H12" s="114" t="s">
        <v>208</v>
      </c>
    </row>
    <row r="13" spans="1:8" s="32" customFormat="1" ht="15" customHeight="1" thickBot="1" x14ac:dyDescent="0.3">
      <c r="A13" s="274"/>
      <c r="B13" s="192" t="s">
        <v>287</v>
      </c>
      <c r="C13" s="342" t="s">
        <v>290</v>
      </c>
      <c r="D13" s="343">
        <v>4000000</v>
      </c>
      <c r="E13" s="79">
        <v>0</v>
      </c>
      <c r="F13" s="344">
        <v>3500000</v>
      </c>
      <c r="G13" s="339">
        <f>D13+F13</f>
        <v>7500000</v>
      </c>
      <c r="H13" s="115" t="s">
        <v>208</v>
      </c>
    </row>
    <row r="14" spans="1:8" s="32" customFormat="1" ht="21.75" customHeight="1" thickBot="1" x14ac:dyDescent="0.3">
      <c r="A14" s="340"/>
      <c r="B14" s="341"/>
      <c r="C14" s="217" t="s">
        <v>284</v>
      </c>
      <c r="D14" s="111">
        <f t="shared" ref="D14:F14" si="1">SUM(D12:D13)</f>
        <v>5100000</v>
      </c>
      <c r="E14" s="111">
        <f t="shared" si="1"/>
        <v>0</v>
      </c>
      <c r="F14" s="111">
        <f t="shared" si="1"/>
        <v>5400000</v>
      </c>
      <c r="G14" s="111">
        <f>SUM(G12:G13)</f>
        <v>10500000</v>
      </c>
      <c r="H14" s="175"/>
    </row>
    <row r="15" spans="1:8" s="32" customFormat="1" ht="5.25" customHeight="1" x14ac:dyDescent="0.25">
      <c r="A15" s="38"/>
      <c r="B15" s="38"/>
      <c r="C15" s="256"/>
      <c r="D15" s="38"/>
      <c r="E15" s="38"/>
      <c r="F15" s="38"/>
      <c r="G15" s="38"/>
      <c r="H15" s="38"/>
    </row>
    <row r="16" spans="1:8" s="32" customFormat="1" ht="15" customHeight="1" x14ac:dyDescent="0.25">
      <c r="A16" s="190" t="s">
        <v>385</v>
      </c>
      <c r="B16" s="38"/>
      <c r="C16" s="122" t="s">
        <v>247</v>
      </c>
      <c r="D16" s="38"/>
      <c r="E16" s="38"/>
      <c r="F16" s="38"/>
      <c r="G16" s="38"/>
      <c r="H16" s="38"/>
    </row>
    <row r="17" spans="1:8" s="32" customFormat="1" ht="25.5" customHeight="1" x14ac:dyDescent="0.25">
      <c r="A17" s="38"/>
      <c r="B17" s="198" t="s">
        <v>390</v>
      </c>
      <c r="C17" s="57" t="s">
        <v>386</v>
      </c>
      <c r="D17" s="246">
        <v>1000000</v>
      </c>
      <c r="E17" s="246">
        <v>900000</v>
      </c>
      <c r="F17" s="246">
        <v>1000000</v>
      </c>
      <c r="G17" s="212">
        <f t="shared" ref="G17:G20" si="2">D17+F17</f>
        <v>2000000</v>
      </c>
      <c r="H17" s="115" t="s">
        <v>208</v>
      </c>
    </row>
    <row r="18" spans="1:8" s="32" customFormat="1" ht="25.5" customHeight="1" x14ac:dyDescent="0.25">
      <c r="A18" s="38"/>
      <c r="B18" s="198" t="s">
        <v>391</v>
      </c>
      <c r="C18" s="57" t="s">
        <v>387</v>
      </c>
      <c r="D18" s="246">
        <v>4000000</v>
      </c>
      <c r="E18" s="246">
        <v>1950000</v>
      </c>
      <c r="F18" s="246">
        <v>2000000</v>
      </c>
      <c r="G18" s="212">
        <f t="shared" si="2"/>
        <v>6000000</v>
      </c>
      <c r="H18" s="115" t="s">
        <v>208</v>
      </c>
    </row>
    <row r="19" spans="1:8" s="32" customFormat="1" ht="23.25" customHeight="1" x14ac:dyDescent="0.25">
      <c r="A19" s="31"/>
      <c r="B19" s="198" t="s">
        <v>392</v>
      </c>
      <c r="C19" s="57" t="s">
        <v>388</v>
      </c>
      <c r="D19" s="246">
        <v>1000000</v>
      </c>
      <c r="E19" s="246">
        <v>981250</v>
      </c>
      <c r="F19" s="246">
        <v>1000000</v>
      </c>
      <c r="G19" s="212">
        <f t="shared" si="2"/>
        <v>2000000</v>
      </c>
      <c r="H19" s="115" t="s">
        <v>208</v>
      </c>
    </row>
    <row r="20" spans="1:8" s="32" customFormat="1" ht="25.5" customHeight="1" thickBot="1" x14ac:dyDescent="0.3">
      <c r="A20" s="172"/>
      <c r="B20" s="292" t="s">
        <v>393</v>
      </c>
      <c r="C20" s="191" t="s">
        <v>389</v>
      </c>
      <c r="D20" s="338">
        <v>3000000</v>
      </c>
      <c r="E20" s="338">
        <v>3150000</v>
      </c>
      <c r="F20" s="338">
        <v>2000000</v>
      </c>
      <c r="G20" s="339">
        <f t="shared" si="2"/>
        <v>5000000</v>
      </c>
      <c r="H20" s="115" t="s">
        <v>208</v>
      </c>
    </row>
    <row r="21" spans="1:8" s="32" customFormat="1" ht="15" customHeight="1" thickBot="1" x14ac:dyDescent="0.3">
      <c r="A21" s="340"/>
      <c r="B21" s="341"/>
      <c r="C21" s="345" t="s">
        <v>384</v>
      </c>
      <c r="D21" s="224">
        <f t="shared" ref="D21:F21" si="3">SUM(D17:D20)</f>
        <v>9000000</v>
      </c>
      <c r="E21" s="224">
        <f t="shared" si="3"/>
        <v>6981250</v>
      </c>
      <c r="F21" s="224">
        <f t="shared" si="3"/>
        <v>6000000</v>
      </c>
      <c r="G21" s="224">
        <f>SUM(G17:G20)</f>
        <v>15000000</v>
      </c>
      <c r="H21" s="175"/>
    </row>
    <row r="22" spans="1:8" s="32" customFormat="1" ht="6" customHeight="1" x14ac:dyDescent="0.25">
      <c r="A22" s="38"/>
      <c r="B22" s="38"/>
      <c r="C22" s="256"/>
      <c r="D22" s="38"/>
      <c r="E22" s="38"/>
      <c r="F22" s="38"/>
      <c r="G22" s="38"/>
      <c r="H22" s="38"/>
    </row>
    <row r="23" spans="1:8" s="32" customFormat="1" ht="15" customHeight="1" x14ac:dyDescent="0.25">
      <c r="A23" s="190" t="s">
        <v>422</v>
      </c>
      <c r="B23" s="38"/>
      <c r="C23" s="122" t="s">
        <v>61</v>
      </c>
      <c r="D23" s="38"/>
      <c r="E23" s="38"/>
      <c r="F23" s="38"/>
      <c r="G23" s="38"/>
      <c r="H23" s="38"/>
    </row>
    <row r="24" spans="1:8" s="32" customFormat="1" ht="37.5" customHeight="1" thickBot="1" x14ac:dyDescent="0.3">
      <c r="A24" s="172"/>
      <c r="B24" s="292" t="s">
        <v>424</v>
      </c>
      <c r="C24" s="191" t="s">
        <v>423</v>
      </c>
      <c r="D24" s="338">
        <v>5000000</v>
      </c>
      <c r="E24" s="338">
        <v>4720000</v>
      </c>
      <c r="F24" s="338">
        <v>2000000</v>
      </c>
      <c r="G24" s="339">
        <f t="shared" ref="G24" si="4">D24+F24</f>
        <v>7000000</v>
      </c>
      <c r="H24" s="522" t="s">
        <v>208</v>
      </c>
    </row>
    <row r="25" spans="1:8" s="32" customFormat="1" ht="24.75" customHeight="1" thickBot="1" x14ac:dyDescent="0.3">
      <c r="A25" s="340"/>
      <c r="B25" s="341"/>
      <c r="C25" s="86" t="s">
        <v>421</v>
      </c>
      <c r="D25" s="347">
        <f t="shared" ref="D25:F25" si="5">SUM(D24)</f>
        <v>5000000</v>
      </c>
      <c r="E25" s="347">
        <f t="shared" si="5"/>
        <v>4720000</v>
      </c>
      <c r="F25" s="347">
        <f t="shared" si="5"/>
        <v>2000000</v>
      </c>
      <c r="G25" s="347">
        <f>SUM(G24)</f>
        <v>7000000</v>
      </c>
      <c r="H25" s="348"/>
    </row>
    <row r="26" spans="1:8" s="32" customFormat="1" ht="6.75" customHeight="1" x14ac:dyDescent="0.25">
      <c r="A26" s="38"/>
      <c r="B26" s="38"/>
      <c r="C26" s="256"/>
      <c r="D26" s="38"/>
      <c r="E26" s="38"/>
      <c r="F26" s="38"/>
      <c r="G26" s="38"/>
      <c r="H26" s="38"/>
    </row>
    <row r="27" spans="1:8" s="32" customFormat="1" ht="15" customHeight="1" x14ac:dyDescent="0.25">
      <c r="A27" s="190" t="s">
        <v>397</v>
      </c>
      <c r="B27" s="31"/>
      <c r="C27" s="122" t="s">
        <v>63</v>
      </c>
      <c r="D27" s="31"/>
      <c r="E27" s="31"/>
      <c r="F27" s="31"/>
      <c r="G27" s="31"/>
      <c r="H27" s="31"/>
    </row>
    <row r="28" spans="1:8" s="32" customFormat="1" ht="37.5" customHeight="1" thickBot="1" x14ac:dyDescent="0.3">
      <c r="A28" s="172"/>
      <c r="B28" s="292" t="s">
        <v>400</v>
      </c>
      <c r="C28" s="349" t="s">
        <v>399</v>
      </c>
      <c r="D28" s="424">
        <v>2500000</v>
      </c>
      <c r="E28" s="424">
        <v>2100000</v>
      </c>
      <c r="F28" s="424">
        <v>3500000</v>
      </c>
      <c r="G28" s="339">
        <f t="shared" ref="G28" si="6">D28+F28</f>
        <v>6000000</v>
      </c>
      <c r="H28" s="115" t="s">
        <v>208</v>
      </c>
    </row>
    <row r="29" spans="1:8" s="32" customFormat="1" ht="12" customHeight="1" thickBot="1" x14ac:dyDescent="0.3">
      <c r="A29" s="340"/>
      <c r="B29" s="341"/>
      <c r="C29" s="345" t="s">
        <v>398</v>
      </c>
      <c r="D29" s="224">
        <f t="shared" ref="D29:E29" si="7">SUM(D28:D28)</f>
        <v>2500000</v>
      </c>
      <c r="E29" s="224">
        <f t="shared" si="7"/>
        <v>2100000</v>
      </c>
      <c r="F29" s="224">
        <f>SUM(F28:F28)</f>
        <v>3500000</v>
      </c>
      <c r="G29" s="224">
        <f>SUM(G28:G28)</f>
        <v>6000000</v>
      </c>
      <c r="H29" s="175"/>
    </row>
    <row r="30" spans="1:8" s="32" customFormat="1" ht="6" customHeight="1" x14ac:dyDescent="0.25">
      <c r="A30" s="38"/>
      <c r="B30" s="38"/>
      <c r="C30" s="256"/>
      <c r="D30" s="38"/>
      <c r="E30" s="38"/>
      <c r="F30" s="38"/>
      <c r="G30" s="38"/>
      <c r="H30" s="38"/>
    </row>
    <row r="31" spans="1:8" s="32" customFormat="1" ht="15" customHeight="1" x14ac:dyDescent="0.25">
      <c r="A31" s="190" t="s">
        <v>844</v>
      </c>
      <c r="B31" s="109"/>
      <c r="C31" s="87" t="s">
        <v>64</v>
      </c>
      <c r="D31" s="76"/>
      <c r="E31" s="76"/>
      <c r="F31" s="77"/>
      <c r="G31" s="110"/>
      <c r="H31" s="38"/>
    </row>
    <row r="32" spans="1:8" s="32" customFormat="1" ht="22.5" customHeight="1" x14ac:dyDescent="0.25">
      <c r="A32" s="93"/>
      <c r="B32" s="197" t="s">
        <v>1113</v>
      </c>
      <c r="C32" s="83" t="s">
        <v>1112</v>
      </c>
      <c r="D32" s="428">
        <v>5000000</v>
      </c>
      <c r="E32" s="534">
        <f t="shared" ref="D32:F33" si="8">SUM(E31)</f>
        <v>0</v>
      </c>
      <c r="F32" s="406">
        <v>3000000</v>
      </c>
      <c r="G32" s="212">
        <f>D32+F32</f>
        <v>8000000</v>
      </c>
      <c r="H32" s="31"/>
    </row>
    <row r="33" spans="1:8" s="32" customFormat="1" ht="15" customHeight="1" thickBot="1" x14ac:dyDescent="0.3">
      <c r="A33" s="530"/>
      <c r="B33" s="531"/>
      <c r="C33" s="404" t="s">
        <v>1111</v>
      </c>
      <c r="D33" s="532">
        <f t="shared" si="8"/>
        <v>5000000</v>
      </c>
      <c r="E33" s="532">
        <f t="shared" si="8"/>
        <v>0</v>
      </c>
      <c r="F33" s="532">
        <f t="shared" si="8"/>
        <v>3000000</v>
      </c>
      <c r="G33" s="532">
        <f>SUM(G32)</f>
        <v>8000000</v>
      </c>
      <c r="H33" s="533"/>
    </row>
    <row r="34" spans="1:8" s="32" customFormat="1" ht="6.75" customHeight="1" x14ac:dyDescent="0.25">
      <c r="A34" s="38"/>
      <c r="B34" s="38"/>
      <c r="C34" s="256"/>
      <c r="D34" s="38"/>
      <c r="E34" s="38"/>
      <c r="F34" s="38"/>
      <c r="G34" s="38"/>
      <c r="H34" s="38"/>
    </row>
    <row r="35" spans="1:8" s="32" customFormat="1" ht="13.5" customHeight="1" x14ac:dyDescent="0.25">
      <c r="A35" s="190" t="s">
        <v>439</v>
      </c>
      <c r="B35" s="274"/>
      <c r="C35" s="269" t="s">
        <v>253</v>
      </c>
      <c r="D35" s="274"/>
      <c r="E35" s="38"/>
      <c r="F35" s="38"/>
      <c r="G35" s="38"/>
      <c r="H35" s="38"/>
    </row>
    <row r="36" spans="1:8" s="32" customFormat="1" ht="15" customHeight="1" thickBot="1" x14ac:dyDescent="0.3">
      <c r="A36" s="172"/>
      <c r="B36" s="292" t="s">
        <v>441</v>
      </c>
      <c r="C36" s="191" t="s">
        <v>440</v>
      </c>
      <c r="D36" s="350">
        <v>19438060000</v>
      </c>
      <c r="E36" s="351">
        <v>9596214842.2999992</v>
      </c>
      <c r="F36" s="338">
        <v>4000000000</v>
      </c>
      <c r="G36" s="352">
        <f t="shared" ref="G36" si="9">D36+F36</f>
        <v>23438060000</v>
      </c>
      <c r="H36" s="522" t="s">
        <v>208</v>
      </c>
    </row>
    <row r="37" spans="1:8" s="32" customFormat="1" ht="24" customHeight="1" thickBot="1" x14ac:dyDescent="0.3">
      <c r="A37" s="340"/>
      <c r="B37" s="341"/>
      <c r="C37" s="297" t="s">
        <v>438</v>
      </c>
      <c r="D37" s="353">
        <f t="shared" ref="D37:F37" si="10">SUM(D36)</f>
        <v>19438060000</v>
      </c>
      <c r="E37" s="353">
        <f t="shared" si="10"/>
        <v>9596214842.2999992</v>
      </c>
      <c r="F37" s="354">
        <f t="shared" si="10"/>
        <v>4000000000</v>
      </c>
      <c r="G37" s="353">
        <f>SUM(G36)</f>
        <v>23438060000</v>
      </c>
      <c r="H37" s="175"/>
    </row>
    <row r="38" spans="1:8" s="32" customFormat="1" ht="8.25" customHeight="1" x14ac:dyDescent="0.25">
      <c r="A38" s="38"/>
      <c r="B38" s="38"/>
      <c r="C38" s="256"/>
      <c r="D38" s="38"/>
      <c r="E38" s="38"/>
      <c r="F38" s="38"/>
      <c r="G38" s="38"/>
      <c r="H38" s="38"/>
    </row>
    <row r="39" spans="1:8" s="32" customFormat="1" ht="23.25" customHeight="1" x14ac:dyDescent="0.25">
      <c r="A39" s="362" t="s">
        <v>607</v>
      </c>
      <c r="B39" s="31"/>
      <c r="C39" s="261" t="s">
        <v>327</v>
      </c>
      <c r="D39" s="79">
        <v>0</v>
      </c>
      <c r="E39" s="79">
        <v>0</v>
      </c>
      <c r="F39" s="38"/>
      <c r="G39" s="31"/>
      <c r="H39" s="38"/>
    </row>
    <row r="40" spans="1:8" s="32" customFormat="1" ht="34.5" customHeight="1" x14ac:dyDescent="0.25">
      <c r="A40" s="31"/>
      <c r="B40" s="205" t="s">
        <v>661</v>
      </c>
      <c r="C40" s="429" t="s">
        <v>653</v>
      </c>
      <c r="D40" s="430">
        <v>0</v>
      </c>
      <c r="E40" s="430">
        <v>0</v>
      </c>
      <c r="F40" s="431">
        <v>2000000</v>
      </c>
      <c r="G40" s="212">
        <f t="shared" ref="G40:G46" si="11">D40+F40</f>
        <v>2000000</v>
      </c>
      <c r="H40" s="432" t="s">
        <v>208</v>
      </c>
    </row>
    <row r="41" spans="1:8" s="32" customFormat="1" ht="68.25" customHeight="1" x14ac:dyDescent="0.25">
      <c r="A41" s="31"/>
      <c r="B41" s="205" t="s">
        <v>659</v>
      </c>
      <c r="C41" s="429" t="s">
        <v>654</v>
      </c>
      <c r="D41" s="430">
        <v>0</v>
      </c>
      <c r="E41" s="430">
        <v>0</v>
      </c>
      <c r="F41" s="431">
        <v>10000000</v>
      </c>
      <c r="G41" s="212">
        <f t="shared" si="11"/>
        <v>10000000</v>
      </c>
      <c r="H41" s="432" t="s">
        <v>208</v>
      </c>
    </row>
    <row r="42" spans="1:8" s="32" customFormat="1" ht="35.25" customHeight="1" x14ac:dyDescent="0.25">
      <c r="A42" s="31"/>
      <c r="B42" s="205" t="s">
        <v>660</v>
      </c>
      <c r="C42" s="429" t="s">
        <v>655</v>
      </c>
      <c r="D42" s="430">
        <v>0</v>
      </c>
      <c r="E42" s="430">
        <v>0</v>
      </c>
      <c r="F42" s="431">
        <v>10000000</v>
      </c>
      <c r="G42" s="212">
        <f t="shared" si="11"/>
        <v>10000000</v>
      </c>
      <c r="H42" s="432" t="s">
        <v>208</v>
      </c>
    </row>
    <row r="43" spans="1:8" s="32" customFormat="1" ht="24.75" customHeight="1" x14ac:dyDescent="0.25">
      <c r="A43" s="31"/>
      <c r="B43" s="205" t="s">
        <v>657</v>
      </c>
      <c r="C43" s="429" t="s">
        <v>652</v>
      </c>
      <c r="D43" s="430">
        <v>0</v>
      </c>
      <c r="E43" s="430">
        <v>0</v>
      </c>
      <c r="F43" s="431">
        <v>10000000</v>
      </c>
      <c r="G43" s="212">
        <f t="shared" si="11"/>
        <v>10000000</v>
      </c>
      <c r="H43" s="432" t="s">
        <v>208</v>
      </c>
    </row>
    <row r="44" spans="1:8" s="32" customFormat="1" ht="34.5" customHeight="1" x14ac:dyDescent="0.25">
      <c r="A44" s="31"/>
      <c r="B44" s="205" t="s">
        <v>658</v>
      </c>
      <c r="C44" s="429" t="s">
        <v>328</v>
      </c>
      <c r="D44" s="430">
        <v>0</v>
      </c>
      <c r="E44" s="430">
        <v>0</v>
      </c>
      <c r="F44" s="431">
        <v>10000000</v>
      </c>
      <c r="G44" s="212">
        <f t="shared" si="11"/>
        <v>10000000</v>
      </c>
      <c r="H44" s="432" t="s">
        <v>208</v>
      </c>
    </row>
    <row r="45" spans="1:8" s="32" customFormat="1" ht="15" customHeight="1" x14ac:dyDescent="0.25">
      <c r="A45" s="31"/>
      <c r="B45" s="205" t="s">
        <v>656</v>
      </c>
      <c r="C45" s="429" t="s">
        <v>329</v>
      </c>
      <c r="D45" s="430">
        <v>0</v>
      </c>
      <c r="E45" s="430">
        <v>0</v>
      </c>
      <c r="F45" s="431">
        <v>10000000</v>
      </c>
      <c r="G45" s="212">
        <f t="shared" si="11"/>
        <v>10000000</v>
      </c>
      <c r="H45" s="432" t="s">
        <v>208</v>
      </c>
    </row>
    <row r="46" spans="1:8" s="32" customFormat="1" ht="23.25" customHeight="1" thickBot="1" x14ac:dyDescent="0.3">
      <c r="A46" s="31"/>
      <c r="B46" s="205" t="s">
        <v>662</v>
      </c>
      <c r="C46" s="429" t="s">
        <v>330</v>
      </c>
      <c r="D46" s="430">
        <v>0</v>
      </c>
      <c r="E46" s="430">
        <v>0</v>
      </c>
      <c r="F46" s="431">
        <v>50000000</v>
      </c>
      <c r="G46" s="212">
        <f t="shared" si="11"/>
        <v>50000000</v>
      </c>
      <c r="H46" s="432" t="s">
        <v>208</v>
      </c>
    </row>
    <row r="47" spans="1:8" s="32" customFormat="1" ht="23.25" customHeight="1" thickBot="1" x14ac:dyDescent="0.3">
      <c r="A47" s="340"/>
      <c r="B47" s="341"/>
      <c r="C47" s="357" t="s">
        <v>331</v>
      </c>
      <c r="D47" s="224">
        <f>SUM(D40:D46)</f>
        <v>0</v>
      </c>
      <c r="E47" s="224">
        <f>SUM(E40:E46)</f>
        <v>0</v>
      </c>
      <c r="F47" s="224">
        <f>SUM(F40:F46)</f>
        <v>102000000</v>
      </c>
      <c r="G47" s="224">
        <f>SUM(G40:G46)</f>
        <v>102000000</v>
      </c>
      <c r="H47" s="175"/>
    </row>
    <row r="48" spans="1:8" s="32" customFormat="1" ht="6" customHeight="1" x14ac:dyDescent="0.25">
      <c r="A48" s="38"/>
      <c r="B48" s="38"/>
      <c r="C48" s="256"/>
      <c r="D48" s="38"/>
      <c r="E48" s="38"/>
      <c r="F48" s="38"/>
      <c r="G48" s="38"/>
      <c r="H48" s="38"/>
    </row>
    <row r="49" spans="1:9" s="32" customFormat="1" ht="15" customHeight="1" x14ac:dyDescent="0.25">
      <c r="A49" s="190" t="s">
        <v>720</v>
      </c>
      <c r="B49" s="31"/>
      <c r="C49" s="122" t="s">
        <v>77</v>
      </c>
      <c r="D49" s="31"/>
      <c r="E49" s="31"/>
      <c r="F49" s="31"/>
      <c r="G49" s="31"/>
      <c r="H49" s="31"/>
    </row>
    <row r="50" spans="1:9" s="32" customFormat="1" ht="15" customHeight="1" thickBot="1" x14ac:dyDescent="0.3">
      <c r="A50" s="172"/>
      <c r="B50" s="292" t="s">
        <v>721</v>
      </c>
      <c r="C50" s="319" t="s">
        <v>723</v>
      </c>
      <c r="D50" s="408">
        <v>20000000</v>
      </c>
      <c r="E50" s="408">
        <v>0</v>
      </c>
      <c r="F50" s="408">
        <v>12000000</v>
      </c>
      <c r="G50" s="411">
        <f t="shared" ref="G50" si="12">D50+F50</f>
        <v>32000000</v>
      </c>
      <c r="H50" s="172"/>
    </row>
    <row r="51" spans="1:9" s="32" customFormat="1" ht="15" customHeight="1" thickBot="1" x14ac:dyDescent="0.3">
      <c r="A51" s="340"/>
      <c r="B51" s="341"/>
      <c r="C51" s="345" t="s">
        <v>722</v>
      </c>
      <c r="D51" s="412">
        <f>SUM(D50)</f>
        <v>20000000</v>
      </c>
      <c r="E51" s="412">
        <f>SUM(E50)</f>
        <v>0</v>
      </c>
      <c r="F51" s="412">
        <f>SUM(F50)</f>
        <v>12000000</v>
      </c>
      <c r="G51" s="412">
        <f>SUM(G50)</f>
        <v>32000000</v>
      </c>
      <c r="H51" s="175"/>
    </row>
    <row r="52" spans="1:9" s="32" customFormat="1" ht="6.75" customHeight="1" x14ac:dyDescent="0.25">
      <c r="A52" s="544"/>
      <c r="B52" s="274"/>
      <c r="C52" s="523"/>
      <c r="D52" s="274"/>
      <c r="E52" s="274"/>
      <c r="F52" s="274"/>
      <c r="G52" s="274"/>
      <c r="H52" s="274"/>
    </row>
    <row r="53" spans="1:9" s="32" customFormat="1" ht="15" customHeight="1" x14ac:dyDescent="0.25">
      <c r="A53" s="190" t="s">
        <v>402</v>
      </c>
      <c r="B53" s="31"/>
      <c r="C53" s="122" t="s">
        <v>80</v>
      </c>
      <c r="D53" s="31"/>
      <c r="E53" s="31"/>
      <c r="F53" s="31"/>
      <c r="G53" s="31"/>
      <c r="H53" s="31"/>
    </row>
    <row r="54" spans="1:9" s="32" customFormat="1" ht="15" customHeight="1" x14ac:dyDescent="0.25">
      <c r="A54" s="31"/>
      <c r="B54" s="198" t="s">
        <v>405</v>
      </c>
      <c r="C54" s="57" t="s">
        <v>403</v>
      </c>
      <c r="D54" s="422">
        <v>1000000</v>
      </c>
      <c r="E54" s="422">
        <v>995000</v>
      </c>
      <c r="F54" s="422">
        <v>500000</v>
      </c>
      <c r="G54" s="212">
        <f t="shared" ref="G54:G56" si="13">D54+F54</f>
        <v>1500000</v>
      </c>
      <c r="H54" s="114" t="s">
        <v>208</v>
      </c>
    </row>
    <row r="55" spans="1:9" s="32" customFormat="1" ht="15" customHeight="1" x14ac:dyDescent="0.25">
      <c r="A55" s="31"/>
      <c r="B55" s="198" t="s">
        <v>406</v>
      </c>
      <c r="C55" s="57" t="s">
        <v>404</v>
      </c>
      <c r="D55" s="422">
        <v>30000000</v>
      </c>
      <c r="E55" s="422">
        <v>28000000</v>
      </c>
      <c r="F55" s="422">
        <v>5000000</v>
      </c>
      <c r="G55" s="212">
        <f t="shared" si="13"/>
        <v>35000000</v>
      </c>
      <c r="H55" s="114" t="s">
        <v>208</v>
      </c>
    </row>
    <row r="56" spans="1:9" s="32" customFormat="1" ht="18.75" customHeight="1" x14ac:dyDescent="0.25">
      <c r="A56" s="31"/>
      <c r="B56" s="198" t="s">
        <v>741</v>
      </c>
      <c r="C56" s="56" t="s">
        <v>740</v>
      </c>
      <c r="D56" s="422">
        <v>30000000</v>
      </c>
      <c r="E56" s="422">
        <v>0</v>
      </c>
      <c r="F56" s="422">
        <v>31000000</v>
      </c>
      <c r="G56" s="212">
        <f t="shared" si="13"/>
        <v>61000000</v>
      </c>
      <c r="H56" s="539" t="s">
        <v>1139</v>
      </c>
    </row>
    <row r="57" spans="1:9" s="32" customFormat="1" ht="15" customHeight="1" thickBot="1" x14ac:dyDescent="0.3">
      <c r="A57" s="535"/>
      <c r="B57" s="274"/>
      <c r="C57" s="536" t="s">
        <v>401</v>
      </c>
      <c r="D57" s="537">
        <f t="shared" ref="D57:E57" si="14">SUM(D54:D56)</f>
        <v>61000000</v>
      </c>
      <c r="E57" s="537">
        <f t="shared" si="14"/>
        <v>28995000</v>
      </c>
      <c r="F57" s="537">
        <f>SUM(F54:F56)</f>
        <v>36500000</v>
      </c>
      <c r="G57" s="537">
        <f>SUM(G54:G56)</f>
        <v>97500000</v>
      </c>
      <c r="H57" s="538"/>
    </row>
    <row r="58" spans="1:9" s="32" customFormat="1" ht="6" customHeight="1" x14ac:dyDescent="0.25">
      <c r="A58" s="31"/>
      <c r="B58" s="31"/>
      <c r="C58" s="407"/>
      <c r="D58" s="31"/>
      <c r="E58" s="31"/>
      <c r="F58" s="31"/>
      <c r="G58" s="31"/>
      <c r="H58" s="38"/>
    </row>
    <row r="59" spans="1:9" s="32" customFormat="1" ht="15" customHeight="1" x14ac:dyDescent="0.25">
      <c r="A59" s="190" t="s">
        <v>724</v>
      </c>
      <c r="B59" s="31"/>
      <c r="C59" s="122" t="s">
        <v>82</v>
      </c>
      <c r="D59" s="31"/>
      <c r="E59" s="31"/>
      <c r="F59" s="31"/>
      <c r="G59" s="31"/>
      <c r="H59" s="31"/>
    </row>
    <row r="60" spans="1:9" s="32" customFormat="1" ht="24" customHeight="1" thickBot="1" x14ac:dyDescent="0.3">
      <c r="A60" s="172"/>
      <c r="B60" s="172"/>
      <c r="C60" s="84" t="s">
        <v>718</v>
      </c>
      <c r="D60" s="408">
        <v>0</v>
      </c>
      <c r="E60" s="408">
        <v>0</v>
      </c>
      <c r="F60" s="408">
        <v>120000000</v>
      </c>
      <c r="G60" s="287">
        <f t="shared" ref="G60" si="15">D60+F60</f>
        <v>120000000</v>
      </c>
      <c r="H60" s="408"/>
      <c r="I60" s="32" t="s">
        <v>1140</v>
      </c>
    </row>
    <row r="61" spans="1:9" s="32" customFormat="1" ht="15" customHeight="1" thickBot="1" x14ac:dyDescent="0.3">
      <c r="A61" s="340"/>
      <c r="B61" s="341"/>
      <c r="C61" s="345" t="s">
        <v>725</v>
      </c>
      <c r="D61" s="409">
        <f t="shared" ref="D61:F61" si="16">SUM(D60)</f>
        <v>0</v>
      </c>
      <c r="E61" s="409">
        <f t="shared" si="16"/>
        <v>0</v>
      </c>
      <c r="F61" s="409">
        <f t="shared" si="16"/>
        <v>120000000</v>
      </c>
      <c r="G61" s="409">
        <f>SUM(G60)</f>
        <v>120000000</v>
      </c>
      <c r="H61" s="410"/>
    </row>
    <row r="62" spans="1:9" s="32" customFormat="1" ht="6.75" customHeight="1" x14ac:dyDescent="0.25">
      <c r="A62" s="31"/>
      <c r="B62" s="31"/>
      <c r="C62" s="407"/>
      <c r="D62" s="31"/>
      <c r="E62" s="31"/>
      <c r="F62" s="31"/>
      <c r="G62" s="31"/>
      <c r="H62" s="31"/>
    </row>
    <row r="63" spans="1:9" s="32" customFormat="1" ht="23.25" customHeight="1" x14ac:dyDescent="0.25">
      <c r="A63" s="190" t="s">
        <v>712</v>
      </c>
      <c r="B63" s="31"/>
      <c r="C63" s="87" t="s">
        <v>256</v>
      </c>
      <c r="D63" s="38"/>
      <c r="E63" s="38"/>
      <c r="F63" s="38"/>
      <c r="G63" s="38"/>
      <c r="H63" s="38"/>
    </row>
    <row r="64" spans="1:9" s="32" customFormat="1" ht="15" customHeight="1" thickBot="1" x14ac:dyDescent="0.3">
      <c r="A64" s="172"/>
      <c r="B64" s="292" t="s">
        <v>714</v>
      </c>
      <c r="C64" s="291" t="s">
        <v>713</v>
      </c>
      <c r="D64" s="338">
        <v>50000000</v>
      </c>
      <c r="E64" s="274"/>
      <c r="F64" s="401">
        <v>10000000</v>
      </c>
      <c r="G64" s="339">
        <f t="shared" ref="G64" si="17">D64+F64</f>
        <v>60000000</v>
      </c>
      <c r="H64" s="274"/>
    </row>
    <row r="65" spans="1:8" s="32" customFormat="1" ht="24" customHeight="1" thickBot="1" x14ac:dyDescent="0.3">
      <c r="A65" s="340"/>
      <c r="B65" s="341"/>
      <c r="C65" s="86" t="s">
        <v>482</v>
      </c>
      <c r="D65" s="224">
        <f t="shared" ref="D65:F65" si="18">SUM(D64)</f>
        <v>50000000</v>
      </c>
      <c r="E65" s="224">
        <f t="shared" si="18"/>
        <v>0</v>
      </c>
      <c r="F65" s="224">
        <f t="shared" si="18"/>
        <v>10000000</v>
      </c>
      <c r="G65" s="224">
        <f>SUM(G64)</f>
        <v>60000000</v>
      </c>
      <c r="H65" s="175"/>
    </row>
    <row r="66" spans="1:8" s="32" customFormat="1" ht="6.75" customHeight="1" x14ac:dyDescent="0.25">
      <c r="A66" s="38"/>
      <c r="B66" s="38"/>
      <c r="C66" s="256"/>
      <c r="D66" s="38"/>
      <c r="E66" s="38"/>
      <c r="F66" s="38"/>
      <c r="G66" s="38"/>
      <c r="H66" s="38"/>
    </row>
    <row r="67" spans="1:8" s="32" customFormat="1" ht="15" customHeight="1" x14ac:dyDescent="0.25">
      <c r="A67" s="190" t="s">
        <v>437</v>
      </c>
      <c r="B67" s="31"/>
      <c r="C67" s="87" t="s">
        <v>258</v>
      </c>
      <c r="D67" s="31"/>
      <c r="E67" s="31"/>
      <c r="F67" s="31"/>
      <c r="G67" s="31"/>
      <c r="H67" s="31"/>
    </row>
    <row r="68" spans="1:8" s="32" customFormat="1" ht="15" customHeight="1" thickBot="1" x14ac:dyDescent="0.3">
      <c r="A68" s="172"/>
      <c r="B68" s="292" t="s">
        <v>436</v>
      </c>
      <c r="C68" s="191" t="s">
        <v>435</v>
      </c>
      <c r="D68" s="424">
        <v>15000000</v>
      </c>
      <c r="E68" s="424">
        <v>15000000</v>
      </c>
      <c r="F68" s="424">
        <v>20000000</v>
      </c>
      <c r="G68" s="339">
        <f t="shared" ref="G68" si="19">D68+F68</f>
        <v>35000000</v>
      </c>
      <c r="H68" s="115" t="s">
        <v>208</v>
      </c>
    </row>
    <row r="69" spans="1:8" s="32" customFormat="1" ht="15" customHeight="1" thickBot="1" x14ac:dyDescent="0.3">
      <c r="A69" s="340"/>
      <c r="B69" s="341"/>
      <c r="C69" s="86" t="s">
        <v>434</v>
      </c>
      <c r="D69" s="347">
        <f t="shared" ref="D69:F69" si="20">SUM(D68)</f>
        <v>15000000</v>
      </c>
      <c r="E69" s="347">
        <f t="shared" si="20"/>
        <v>15000000</v>
      </c>
      <c r="F69" s="347">
        <f t="shared" si="20"/>
        <v>20000000</v>
      </c>
      <c r="G69" s="347">
        <f>SUM(G68)</f>
        <v>35000000</v>
      </c>
      <c r="H69" s="348"/>
    </row>
    <row r="70" spans="1:8" s="32" customFormat="1" ht="6" customHeight="1" x14ac:dyDescent="0.25">
      <c r="A70" s="38"/>
      <c r="B70" s="38"/>
      <c r="C70" s="256"/>
      <c r="D70" s="38"/>
      <c r="E70" s="38"/>
      <c r="F70" s="38"/>
      <c r="G70" s="38"/>
      <c r="H70" s="38"/>
    </row>
    <row r="71" spans="1:8" s="32" customFormat="1" ht="12.75" customHeight="1" x14ac:dyDescent="0.25">
      <c r="A71" s="190" t="s">
        <v>593</v>
      </c>
      <c r="B71" s="31"/>
      <c r="C71" s="122" t="s">
        <v>216</v>
      </c>
      <c r="D71" s="38"/>
      <c r="E71" s="38"/>
      <c r="F71" s="38"/>
      <c r="G71" s="38"/>
      <c r="H71" s="38"/>
    </row>
    <row r="72" spans="1:8" s="32" customFormat="1" ht="24" customHeight="1" thickBot="1" x14ac:dyDescent="0.3">
      <c r="A72" s="274"/>
      <c r="B72" s="355"/>
      <c r="C72" s="356" t="s">
        <v>594</v>
      </c>
      <c r="D72" s="338">
        <v>0</v>
      </c>
      <c r="E72" s="338">
        <v>196000000</v>
      </c>
      <c r="F72" s="338">
        <v>196000000</v>
      </c>
      <c r="G72" s="339">
        <f t="shared" ref="G72" si="21">D72+F72</f>
        <v>196000000</v>
      </c>
      <c r="H72" s="397" t="s">
        <v>642</v>
      </c>
    </row>
    <row r="73" spans="1:8" s="32" customFormat="1" ht="13.5" customHeight="1" thickBot="1" x14ac:dyDescent="0.3">
      <c r="A73" s="340"/>
      <c r="B73" s="341"/>
      <c r="C73" s="345" t="s">
        <v>463</v>
      </c>
      <c r="D73" s="224">
        <f t="shared" ref="D73:F73" si="22">SUM(D72)</f>
        <v>0</v>
      </c>
      <c r="E73" s="224">
        <f t="shared" si="22"/>
        <v>196000000</v>
      </c>
      <c r="F73" s="224">
        <f t="shared" si="22"/>
        <v>196000000</v>
      </c>
      <c r="G73" s="224">
        <f>SUM(G72)</f>
        <v>196000000</v>
      </c>
      <c r="H73" s="175"/>
    </row>
    <row r="74" spans="1:8" s="32" customFormat="1" ht="6" customHeight="1" x14ac:dyDescent="0.25">
      <c r="A74" s="38"/>
      <c r="B74" s="38"/>
      <c r="C74" s="256"/>
      <c r="D74" s="38"/>
      <c r="E74" s="38"/>
      <c r="F74" s="38"/>
      <c r="G74" s="38"/>
      <c r="H74" s="38"/>
    </row>
    <row r="75" spans="1:8" s="32" customFormat="1" ht="15" customHeight="1" x14ac:dyDescent="0.25">
      <c r="A75" s="190" t="s">
        <v>324</v>
      </c>
      <c r="B75" s="31"/>
      <c r="C75" s="122" t="s">
        <v>100</v>
      </c>
      <c r="D75" s="31"/>
      <c r="E75" s="31"/>
      <c r="F75" s="31"/>
      <c r="G75" s="31"/>
      <c r="H75" s="31"/>
    </row>
    <row r="76" spans="1:8" s="32" customFormat="1" ht="25.5" customHeight="1" thickBot="1" x14ac:dyDescent="0.3">
      <c r="A76" s="172"/>
      <c r="B76" s="211" t="s">
        <v>326</v>
      </c>
      <c r="C76" s="84" t="s">
        <v>325</v>
      </c>
      <c r="D76" s="338">
        <v>3000000</v>
      </c>
      <c r="E76" s="338"/>
      <c r="F76" s="338">
        <v>30000000</v>
      </c>
      <c r="G76" s="339">
        <f>D76+F76</f>
        <v>33000000</v>
      </c>
      <c r="H76" s="115" t="s">
        <v>208</v>
      </c>
    </row>
    <row r="77" spans="1:8" s="32" customFormat="1" ht="12" customHeight="1" thickBot="1" x14ac:dyDescent="0.3">
      <c r="A77" s="340"/>
      <c r="B77" s="341"/>
      <c r="C77" s="345" t="s">
        <v>323</v>
      </c>
      <c r="D77" s="224">
        <f t="shared" ref="D77:F77" si="23">SUM(D76)</f>
        <v>3000000</v>
      </c>
      <c r="E77" s="224">
        <f t="shared" si="23"/>
        <v>0</v>
      </c>
      <c r="F77" s="224">
        <f t="shared" si="23"/>
        <v>30000000</v>
      </c>
      <c r="G77" s="224">
        <f>SUM(G76)</f>
        <v>33000000</v>
      </c>
      <c r="H77" s="175"/>
    </row>
    <row r="78" spans="1:8" s="32" customFormat="1" ht="5.25" customHeight="1" x14ac:dyDescent="0.25">
      <c r="A78" s="38"/>
      <c r="B78" s="38"/>
      <c r="C78" s="256"/>
      <c r="D78" s="38"/>
      <c r="E78" s="38"/>
      <c r="F78" s="38"/>
      <c r="G78" s="38"/>
      <c r="H78" s="38"/>
    </row>
    <row r="79" spans="1:8" s="32" customFormat="1" ht="23.25" customHeight="1" x14ac:dyDescent="0.25">
      <c r="A79" s="190" t="s">
        <v>320</v>
      </c>
      <c r="B79" s="31"/>
      <c r="C79" s="261" t="s">
        <v>318</v>
      </c>
      <c r="D79" s="38"/>
      <c r="E79" s="38"/>
      <c r="F79" s="38"/>
      <c r="G79" s="38"/>
      <c r="H79" s="38"/>
    </row>
    <row r="80" spans="1:8" s="32" customFormat="1" ht="15" customHeight="1" thickBot="1" x14ac:dyDescent="0.3">
      <c r="A80" s="172"/>
      <c r="B80" s="192" t="s">
        <v>321</v>
      </c>
      <c r="C80" s="291" t="s">
        <v>319</v>
      </c>
      <c r="D80" s="358">
        <v>250000000</v>
      </c>
      <c r="E80" s="274"/>
      <c r="F80" s="338">
        <v>113165000</v>
      </c>
      <c r="G80" s="339">
        <f>D80+F80</f>
        <v>363165000</v>
      </c>
      <c r="H80" s="115" t="s">
        <v>208</v>
      </c>
    </row>
    <row r="81" spans="1:8" s="32" customFormat="1" ht="21" customHeight="1" thickBot="1" x14ac:dyDescent="0.3">
      <c r="A81" s="340"/>
      <c r="B81" s="341"/>
      <c r="C81" s="357" t="s">
        <v>322</v>
      </c>
      <c r="D81" s="224">
        <f t="shared" ref="D81:F81" si="24">SUM(D80)</f>
        <v>250000000</v>
      </c>
      <c r="E81" s="224">
        <f t="shared" si="24"/>
        <v>0</v>
      </c>
      <c r="F81" s="224">
        <f t="shared" si="24"/>
        <v>113165000</v>
      </c>
      <c r="G81" s="224">
        <f>SUM(G80)</f>
        <v>363165000</v>
      </c>
      <c r="H81" s="175"/>
    </row>
    <row r="82" spans="1:8" s="32" customFormat="1" ht="6.75" customHeight="1" x14ac:dyDescent="0.25">
      <c r="A82" s="38"/>
      <c r="B82" s="38"/>
      <c r="C82" s="256"/>
      <c r="D82" s="38"/>
      <c r="E82" s="38"/>
      <c r="F82" s="38"/>
      <c r="G82" s="38"/>
      <c r="H82" s="38"/>
    </row>
    <row r="83" spans="1:8" s="30" customFormat="1" ht="13.5" customHeight="1" x14ac:dyDescent="0.2">
      <c r="A83" s="190" t="s">
        <v>164</v>
      </c>
      <c r="B83" s="78"/>
      <c r="C83" s="258" t="s">
        <v>94</v>
      </c>
      <c r="D83" s="156"/>
      <c r="E83" s="156"/>
      <c r="F83" s="156"/>
      <c r="G83" s="156"/>
      <c r="H83" s="112"/>
    </row>
    <row r="84" spans="1:8" s="30" customFormat="1" ht="13.5" customHeight="1" x14ac:dyDescent="0.2">
      <c r="A84" s="190"/>
      <c r="B84" s="198" t="s">
        <v>382</v>
      </c>
      <c r="C84" s="56" t="s">
        <v>383</v>
      </c>
      <c r="D84" s="271">
        <v>1000000</v>
      </c>
      <c r="E84" s="271">
        <v>900000</v>
      </c>
      <c r="F84" s="271">
        <v>1000000</v>
      </c>
      <c r="G84" s="212">
        <f>D84+F84</f>
        <v>2000000</v>
      </c>
      <c r="H84" s="114" t="s">
        <v>208</v>
      </c>
    </row>
    <row r="85" spans="1:8" s="30" customFormat="1" ht="24" customHeight="1" thickBot="1" x14ac:dyDescent="0.25">
      <c r="A85" s="583"/>
      <c r="B85" s="192" t="s">
        <v>281</v>
      </c>
      <c r="C85" s="584" t="s">
        <v>280</v>
      </c>
      <c r="D85" s="339">
        <v>200000000</v>
      </c>
      <c r="E85" s="519">
        <v>0</v>
      </c>
      <c r="F85" s="339">
        <v>20000000</v>
      </c>
      <c r="G85" s="339">
        <f>D85+F85</f>
        <v>220000000</v>
      </c>
      <c r="H85" s="115" t="s">
        <v>208</v>
      </c>
    </row>
    <row r="86" spans="1:8" s="30" customFormat="1" ht="13.5" customHeight="1" thickBot="1" x14ac:dyDescent="0.25">
      <c r="A86" s="80"/>
      <c r="B86" s="81"/>
      <c r="C86" s="259" t="s">
        <v>215</v>
      </c>
      <c r="D86" s="196">
        <f>SUM(D84:D85)</f>
        <v>201000000</v>
      </c>
      <c r="E86" s="196">
        <f>SUM(E84:E85)</f>
        <v>900000</v>
      </c>
      <c r="F86" s="196">
        <f>SUM(F84:F85)</f>
        <v>21000000</v>
      </c>
      <c r="G86" s="196">
        <f>SUM(G84:G85)</f>
        <v>222000000</v>
      </c>
      <c r="H86" s="113"/>
    </row>
    <row r="87" spans="1:8" ht="15.75" thickBot="1" x14ac:dyDescent="0.3">
      <c r="A87" s="193"/>
      <c r="B87" s="194"/>
      <c r="C87" s="260" t="s">
        <v>26</v>
      </c>
      <c r="D87" s="564">
        <f t="shared" ref="D87:F87" si="25">D86+D81+D47+D77+D69+D57+D37+D29+D25+D14+D73+D21+D65+D61+D51+D33+D9</f>
        <v>20064660000</v>
      </c>
      <c r="E87" s="564">
        <f t="shared" si="25"/>
        <v>9850911092.2999992</v>
      </c>
      <c r="F87" s="564">
        <f t="shared" si="25"/>
        <v>4980565000</v>
      </c>
      <c r="G87" s="564">
        <f>G86+G81+G47+G77+G69+G57+G37+G29+G25+G14+G73+G21+G65+G61+G51+G33+G9</f>
        <v>25045225000</v>
      </c>
      <c r="H87" s="195"/>
    </row>
  </sheetData>
  <mergeCells count="4">
    <mergeCell ref="C4:F4"/>
    <mergeCell ref="A1:H1"/>
    <mergeCell ref="A2:H2"/>
    <mergeCell ref="A3:H3"/>
  </mergeCells>
  <pageMargins left="0.55000000000000004" right="0.45" top="0.75" bottom="0.75" header="0.3" footer="0.3"/>
  <pageSetup firstPageNumber="5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Overall summary</vt:lpstr>
      <vt:lpstr>summary Allo Pool fund recurent</vt:lpstr>
      <vt:lpstr>Sumary Allo pooled fund capital</vt:lpstr>
      <vt:lpstr>Pooled fund personnel</vt:lpstr>
      <vt:lpstr>Pooled Fund SP</vt:lpstr>
      <vt:lpstr>Personnel Details</vt:lpstr>
      <vt:lpstr>Details SP</vt:lpstr>
      <vt:lpstr>Pooled Fund detail Capital</vt:lpstr>
      <vt:lpstr>Project detail capital</vt:lpstr>
      <vt:lpstr>First Schedule</vt:lpstr>
      <vt:lpstr>Second Schedule</vt:lpstr>
      <vt:lpstr>Third Schedule</vt:lpstr>
      <vt:lpstr>Fourth Schedule</vt:lpstr>
      <vt:lpstr>'Fourth Schedule'!Print_Titles</vt:lpstr>
      <vt:lpstr>'Pooled Fund detail Capital'!Print_Titles</vt:lpstr>
      <vt:lpstr>'Pooled Fund SP'!Print_Titles</vt:lpstr>
      <vt:lpstr>'Project detail capital'!Print_Titles</vt:lpstr>
      <vt:lpstr>'summary Allo Pool fund recurent'!Print_Titles</vt:lpstr>
      <vt:lpstr>'Third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2019-12-19T16:52:08Z</cp:lastPrinted>
  <dcterms:created xsi:type="dcterms:W3CDTF">2011-10-12T15:22:11Z</dcterms:created>
  <dcterms:modified xsi:type="dcterms:W3CDTF">2019-12-30T09:23:25Z</dcterms:modified>
</cp:coreProperties>
</file>